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8595" yWindow="2025" windowWidth="17280" windowHeight="885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报告用表" sheetId="73" r:id="rId17"/>
    <sheet name="土储要求测算表" sheetId="68" r:id="rId18"/>
    <sheet name="结果表" sheetId="9" r:id="rId19"/>
    <sheet name="剩余法住宅" sheetId="12" state="hidden" r:id="rId20"/>
    <sheet name="剩余法商业" sheetId="70" r:id="rId21"/>
    <sheet name="剩余法办公" sheetId="69" r:id="rId22"/>
    <sheet name="剩余法-现房" sheetId="43" state="hidden" r:id="rId23"/>
    <sheet name="比较法-住宅" sheetId="39" state="hidden" r:id="rId24"/>
    <sheet name="比较法-工业" sheetId="40" state="hidden" r:id="rId25"/>
    <sheet name="基准地价住宅" sheetId="46" state="hidden" r:id="rId26"/>
    <sheet name="修正" sheetId="49" state="hidden" r:id="rId27"/>
    <sheet name="区片价" sheetId="48" state="hidden" r:id="rId28"/>
    <sheet name="容积率修正" sheetId="45" state="hidden" r:id="rId29"/>
    <sheet name="因素修正幅度" sheetId="56" state="hidden" r:id="rId30"/>
    <sheet name="基准地价商业" sheetId="71" r:id="rId31"/>
    <sheet name="基准地价办公" sheetId="72"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不动产比较法-住宅" sheetId="21" state="hidden" r:id="rId38"/>
    <sheet name="住宅案例截图及地图" sheetId="74" state="hidden" r:id="rId39"/>
    <sheet name="不动产比较法-商业" sheetId="33" r:id="rId40"/>
    <sheet name="商业案例截图及地图" sheetId="75" r:id="rId41"/>
    <sheet name="不动产比较法-办公" sheetId="34" r:id="rId42"/>
    <sheet name="办公案例截图及地图" sheetId="76" r:id="rId43"/>
    <sheet name="不动产收益法商业" sheetId="15" r:id="rId44"/>
    <sheet name="不动产收益法办公" sheetId="77" r:id="rId45"/>
    <sheet name="土地级别" sheetId="78" r:id="rId46"/>
    <sheet name="不动产比较法-工业" sheetId="37" state="hidden" r:id="rId47"/>
    <sheet name="不动产比较法-车位" sheetId="35" state="hidden" r:id="rId48"/>
    <sheet name="不动产比较法-仓储" sheetId="36" state="hidden" r:id="rId49"/>
    <sheet name="典型户型修正" sheetId="31" state="hidden" r:id="rId50"/>
    <sheet name="存贷款利率" sheetId="65" state="hidden" r:id="rId51"/>
  </sheets>
  <externalReferences>
    <externalReference r:id="rId52"/>
  </externalReferences>
  <definedNames>
    <definedName name="_xlnm._FilterDatabase" localSheetId="24" hidden="1">'比较法-工业'!$A$1:$L$45</definedName>
    <definedName name="_xlnm._FilterDatabase" localSheetId="23" hidden="1">'比较法-住宅'!$A$1:$L$50</definedName>
    <definedName name="_xlnm._FilterDatabase" localSheetId="41" hidden="1">'不动产比较法-办公'!$A$1:$L$50</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39"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3">'比较法-住宅'!$A$1:$K$67,'比较法-住宅'!$A$71:$N$134</definedName>
    <definedName name="_xlnm.Print_Area" localSheetId="41">'不动产比较法-办公'!$A$1:$K$55,'不动产比较法-办公'!$A$58:$M$132</definedName>
    <definedName name="_xlnm.Print_Area" localSheetId="48">'不动产比较法-仓储'!$A$1:$K$42,'不动产比较法-仓储'!$A$45:$M$96</definedName>
    <definedName name="_xlnm.Print_Area" localSheetId="47">'不动产比较法-车位'!$A$1:$K$44,'不动产比较法-车位'!$A$47:$M$102</definedName>
    <definedName name="_xlnm.Print_Area" localSheetId="46">'不动产比较法-工业'!$A$1:$K$48,'不动产比较法-工业'!$A$51:$M$113</definedName>
    <definedName name="_xlnm.Print_Area" localSheetId="39">'不动产比较法-商业'!$A$1:$K$54,'不动产比较法-商业'!$A$57:$M$131</definedName>
    <definedName name="_xlnm.Print_Area" localSheetId="37">'不动产比较法-住宅'!$A$1:$K$54,'不动产比较法-住宅'!$A$57:$M$131</definedName>
    <definedName name="_xlnm.Print_Area" localSheetId="44">不动产收益法办公!$A$1:$F$43,不动产收益法办公!$H$3:$M$29,不动产收益法办公!$A$46:$F$70,不动产收益法办公!$I$46:$M$60</definedName>
    <definedName name="_xlnm.Print_Area" localSheetId="43">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估价师及机构信息!$A$1:$F$22</definedName>
    <definedName name="_xlnm.Print_Area" localSheetId="33">'基准地价（汇总）'!$A$1:$F$14</definedName>
    <definedName name="_xlnm.Print_Area" localSheetId="31">基准地价办公!$A$1:$J$41,基准地价办公!$A$44:$N$87,基准地价办公!$R$1:$V$16</definedName>
    <definedName name="_xlnm.Print_Area" localSheetId="30">基准地价商业!$A$1:$J$41,基准地价商业!$A$44:$N$87,基准地价商业!$R$1:$V$16</definedName>
    <definedName name="_xlnm.Print_Area" localSheetId="25">基准地价住宅!$A$1:$J$41,基准地价住宅!$A$44:$N$87,基准地价住宅!$R$1:$V$16</definedName>
    <definedName name="_xlnm.Print_Area" localSheetId="18">结果表!$A$1:$I$46,结果表!$K$25:$O$44,结果表!$A$62:$I$115,结果表!$K$64:$P$81</definedName>
    <definedName name="_xlnm.Print_Area" localSheetId="21">剩余法办公!$A$1:$K$36</definedName>
    <definedName name="_xlnm.Print_Area" localSheetId="20">剩余法商业!$A$1:$K$36</definedName>
    <definedName name="_xlnm.Print_Area" localSheetId="22">'剩余法-现房'!$A$1:$K$32</definedName>
    <definedName name="_xlnm.Print_Area" localSheetId="19">剩余法住宅!$A$1:$K$36</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5">'[1]不动产比较法-办公'!$B$119:$M$119</definedName>
    <definedName name="办公层高">'不动产比较法-办公'!$B$119:$M$119</definedName>
    <definedName name="办公朝向" localSheetId="45">'[1]不动产比较法-办公'!$B$91:$M$91</definedName>
    <definedName name="办公朝向">'不动产比较法-办公'!$B$91:$M$91</definedName>
    <definedName name="办公道路级别" localSheetId="45">'[1]不动产比较法-办公'!$B$87:$M$87</definedName>
    <definedName name="办公道路级别">'不动产比较法-办公'!$B$87:$M$87</definedName>
    <definedName name="办公公共部分装修" localSheetId="45">'[1]不动产比较法-办公'!$B$108:$M$108</definedName>
    <definedName name="办公公共部分装修">'不动产比较法-办公'!$B$108:$M$108</definedName>
    <definedName name="办公基础设施水平" localSheetId="45">'[1]不动产比较法-办公'!$B$117:$M$117</definedName>
    <definedName name="办公基础设施水平">'不动产比较法-办公'!$B$117:$M$117</definedName>
    <definedName name="办公集聚程度" localSheetId="45">[1]定义!$M$1:$M$6</definedName>
    <definedName name="办公集聚程度">定义!$M$1:$M$6</definedName>
    <definedName name="办公建筑结构" localSheetId="45">'[1]不动产比较法-办公'!$B$106:$M$106</definedName>
    <definedName name="办公建筑结构">'不动产比较法-办公'!$B$106:$M$106</definedName>
    <definedName name="办公建筑类型" localSheetId="45">'[1]不动产比较法-办公'!$B$101:$M$101</definedName>
    <definedName name="办公建筑类型">'不动产比较法-办公'!$B$101:$M$101</definedName>
    <definedName name="办公交易情况" localSheetId="45">'[1]不动产比较法-办公'!$A$62:$M$62</definedName>
    <definedName name="办公交易情况">'不动产比较法-办公'!$A$62:$M$62</definedName>
    <definedName name="办公楼层" localSheetId="45">'[1]不动产比较法-办公'!$B$89:$M$89</definedName>
    <definedName name="办公楼层">'不动产比较法-办公'!$B$89:$M$89</definedName>
    <definedName name="办公内部装修" localSheetId="45">'[1]不动产比较法-办公'!$B$123:$M$123</definedName>
    <definedName name="办公内部装修">'不动产比较法-办公'!$B$123:$M$123</definedName>
    <definedName name="办公物业管理" localSheetId="45">'[1]不动产比较法-办公'!$B$115:$M$115</definedName>
    <definedName name="办公物业管理">'不动产比较法-办公'!$B$115:$M$115</definedName>
    <definedName name="办公用途" localSheetId="45">'[1]不动产比较法-办公'!$B$64:$M$64</definedName>
    <definedName name="办公用途">'不动产比较法-办公'!$B$64:$M$64</definedName>
    <definedName name="仓储公共部分装修" localSheetId="45">'[1]不动产比较法-仓储'!$B$77:$M$77</definedName>
    <definedName name="仓储公共部分装修">'不动产比较法-仓储'!$B$77:$M$77</definedName>
    <definedName name="仓储交易情况" localSheetId="45">'[1]不动产比较法-仓储'!$A$49:$M$49</definedName>
    <definedName name="仓储交易情况">'不动产比较法-仓储'!$A$49:$M$49</definedName>
    <definedName name="仓储楼层" localSheetId="45">'[1]不动产比较法-仓储'!$B$69:$M$69</definedName>
    <definedName name="仓储楼层">'不动产比较法-仓储'!$B$69:$M$69</definedName>
    <definedName name="仓储物业等级" localSheetId="45">'[1]不动产比较法-仓储'!$B$82:$M$82</definedName>
    <definedName name="仓储物业等级">'不动产比较法-仓储'!$B$82:$M$82</definedName>
    <definedName name="仓储用途" localSheetId="45">'[1]不动产比较法-仓储'!$B$51:$M$51</definedName>
    <definedName name="仓储用途">'不动产比较法-仓储'!$B$51:$M$51</definedName>
    <definedName name="产业集聚程度" localSheetId="45">[1]定义!$N$1:$N$6</definedName>
    <definedName name="产业集聚程度">定义!$N$1:$N$6</definedName>
    <definedName name="车位公共部分装修" localSheetId="45">'[1]不动产比较法-车位'!$B$83:$M$83</definedName>
    <definedName name="车位公共部分装修">'不动产比较法-车位'!$B$83:$M$83</definedName>
    <definedName name="车位交易情况" localSheetId="45">'[1]不动产比较法-车位'!$A$51:$M$51</definedName>
    <definedName name="车位交易情况">'不动产比较法-车位'!$A$51:$M$51</definedName>
    <definedName name="车位类型" localSheetId="45">'[1]不动产比较法-车位'!$B$93:$M$93</definedName>
    <definedName name="车位类型">'不动产比较法-车位'!$B$93:$M$93</definedName>
    <definedName name="车位楼层" localSheetId="45">'[1]不动产比较法-车位'!$B$71:$M$71</definedName>
    <definedName name="车位楼层">'不动产比较法-车位'!$B$71:$M$71</definedName>
    <definedName name="车位配套类型" localSheetId="45">'[1]不动产比较法-车位'!$B$79:$M$79</definedName>
    <definedName name="车位配套类型">'不动产比较法-车位'!$B$79:$M$79</definedName>
    <definedName name="车位物业等级" localSheetId="45">'[1]不动产比较法-车位'!$B$88:$M$88</definedName>
    <definedName name="车位物业等级">'不动产比较法-车位'!$B$88:$M$88</definedName>
    <definedName name="车位用途" localSheetId="45">'[1]不动产比较法-车位'!$B$53:$M$53</definedName>
    <definedName name="车位用途">'不动产比较法-车位'!$B$53:$M$53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区片价!$J$1:$J$20</definedName>
    <definedName name="二级分类" localSheetId="45">[1]修正!$C$17:$C$39</definedName>
    <definedName name="二级分类">修正!$C$17:$C$39</definedName>
    <definedName name="法定最高年限" localSheetId="45">[1]定义!$G$2:$G$4</definedName>
    <definedName name="法定最高年限">定义!$G$2:$G$4</definedName>
    <definedName name="工业公共部分装修" localSheetId="45">'[1]不动产比较法-工业'!$B$95:$M$95</definedName>
    <definedName name="工业公共部分装修">'不动产比较法-工业'!$B$95:$M$95</definedName>
    <definedName name="工业基础设施水平" localSheetId="45">'[1]不动产比较法-工业'!$B$102:$M$102</definedName>
    <definedName name="工业基础设施水平">'不动产比较法-工业'!$B$102:$M$102</definedName>
    <definedName name="工业建筑结构" localSheetId="45">'[1]不动产比较法-工业'!$B$93:$M$93</definedName>
    <definedName name="工业建筑结构">'不动产比较法-工业'!$B$93:$M$93</definedName>
    <definedName name="工业建筑类型" localSheetId="45">'[1]不动产比较法-工业'!$B$88:$M$88</definedName>
    <definedName name="工业建筑类型">'不动产比较法-工业'!$B$88:$M$88</definedName>
    <definedName name="工业交易情况" localSheetId="45">'[1]不动产比较法-工业'!$A$55:$M$55</definedName>
    <definedName name="工业交易情况">'不动产比较法-工业'!$A$55:$M$55</definedName>
    <definedName name="工业内部装修" localSheetId="45">'[1]不动产比较法-工业'!$B$104:$M$104</definedName>
    <definedName name="工业内部装修">'不动产比较法-工业'!$B$104:$M$104</definedName>
    <definedName name="工业物业管理" localSheetId="45">'[1]不动产比较法-工业'!$B$100:$M$100</definedName>
    <definedName name="工业物业管理">'不动产比较法-工业'!$B$100:$M$100</definedName>
    <definedName name="工业用途" localSheetId="45">'[1]不动产比较法-工业'!$B$57:$M$57</definedName>
    <definedName name="工业用途">'不动产比较法-工业'!$B$57:$M$57</definedName>
    <definedName name="公共配套设施" localSheetId="45">[1]定义!$Q$1:$Q$6</definedName>
    <definedName name="公共配套设施">定义!$Q$1:$Q$6</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 localSheetId="31">基准地价办公!$N$19:$AB$19</definedName>
    <definedName name="季度" localSheetId="30">基准地价商业!$N$19:$AB$19</definedName>
    <definedName name="季度">基准地价住宅!$N$19:$AB$19</definedName>
    <definedName name="季度2014">地价!$A$2:$A$34</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区片价!$Q$1:$Q$46</definedName>
    <definedName name="居住社区成熟度" localSheetId="45">[1]定义!$K$1:$K$6</definedName>
    <definedName name="居住社区成熟度">定义!$K$1:$K$6</definedName>
    <definedName name="类别" localSheetId="45">[1]定义!$J$1:$J$3</definedName>
    <definedName name="类别">定义!$J$1:$J$3</definedName>
    <definedName name="临街状况" localSheetId="45">[1]定义!$T$1:$T$5</definedName>
    <definedName name="临街状况">定义!$T$1:$T$5</definedName>
    <definedName name="六级">区片价!$N$1:$N$49</definedName>
    <definedName name="内部装修维护情况" localSheetId="45">[1]定义!$U$1:$U$6</definedName>
    <definedName name="内部装修维护情况">定义!$U$1:$U$6</definedName>
    <definedName name="判定" localSheetId="45">[1]定义!$D$1:$D$4</definedName>
    <definedName name="判定">定义!$D$1:$D$4</definedName>
    <definedName name="七级">区片价!$O$1:$O$49</definedName>
    <definedName name="七通一平" localSheetId="45">[1]修正!$A$6:$A$14</definedName>
    <definedName name="七通一平">修正!$A$6:$A$14</definedName>
    <definedName name="区域土地利用方向" localSheetId="45">[1]定义!$P$1:$P$6</definedName>
    <definedName name="区域土地利用方向">定义!$P$1:$P$6</definedName>
    <definedName name="三级">区片价!$K$1:$K$21</definedName>
    <definedName name="商业层高" localSheetId="45">'[1]不动产比较法-商业'!$B$116:$M$116</definedName>
    <definedName name="商业层高">'不动产比较法-商业'!$B$116:$M$116</definedName>
    <definedName name="商业成新度">'不动产比较法-商业'!$B$109:$M$109</definedName>
    <definedName name="商业繁华度" localSheetId="45">[1]定义!$L$1:$L$6</definedName>
    <definedName name="商业繁华度">定义!$L$1:$L$6</definedName>
    <definedName name="商业公共部分装修" localSheetId="45">'[1]不动产比较法-商业'!$B$107:$M$107</definedName>
    <definedName name="商业公共部分装修">'不动产比较法-商业'!$B$107:$M$107</definedName>
    <definedName name="商业基础设施水平" localSheetId="45">'[1]不动产比较法-商业'!$B$112:$M$112</definedName>
    <definedName name="商业基础设施水平">'不动产比较法-商业'!$B$112:$M$112</definedName>
    <definedName name="商业建筑结构" localSheetId="45">'[1]不动产比较法-商业'!$B$105:$M$105</definedName>
    <definedName name="商业建筑结构">'不动产比较法-商业'!$B$105:$M$105</definedName>
    <definedName name="商业交易情况" localSheetId="45">'[1]不动产比较法-商业'!$A$61:$M$61</definedName>
    <definedName name="商业交易情况">'不动产比较法-商业'!$A$61:$M$61</definedName>
    <definedName name="商业街名称" localSheetId="45">[1]修正!$C$59:$C$119</definedName>
    <definedName name="商业街名称">修正!$C$59:$C$119</definedName>
    <definedName name="商业进深比" localSheetId="45">'[1]不动产比较法-商业'!$B$120:$M$120</definedName>
    <definedName name="商业进深比">'不动产比较法-商业'!$B$120:$M$120</definedName>
    <definedName name="商业类型" localSheetId="45">'[1]不动产比较法-商业'!$B$100:$M$100</definedName>
    <definedName name="商业类型">'不动产比较法-商业'!$B$100:$M$100</definedName>
    <definedName name="商业临街状况" localSheetId="45">'[1]不动产比较法-商业'!$B$86:$M$86</definedName>
    <definedName name="商业临街状况">'不动产比较法-商业'!$B$86:$M$86</definedName>
    <definedName name="商业楼层" localSheetId="45">'[1]不动产比较法-商业'!$B$92:$M$92</definedName>
    <definedName name="商业楼层">'不动产比较法-商业'!$B$92:$M$92</definedName>
    <definedName name="商业内部装修" localSheetId="45">'[1]不动产比较法-商业'!$B$122:$M$122</definedName>
    <definedName name="商业内部装修">'不动产比较法-商业'!$B$122:$M$122</definedName>
    <definedName name="商业人流量" localSheetId="45">'[1]不动产比较法-商业'!$B$90:$M$90</definedName>
    <definedName name="商业人流量">'不动产比较法-商业'!$B$90:$M$90</definedName>
    <definedName name="商业业态" localSheetId="45">'[1]不动产比较法-商业'!$B$114:$M$114</definedName>
    <definedName name="商业业态">'不动产比较法-商业'!$B$114:$M$114</definedName>
    <definedName name="商业用途" localSheetId="45">'[1]不动产比较法-商业'!$B$63:$M$63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5">'[1]不动产比较法-仓储'!$B$89:$M$89</definedName>
    <definedName name="是否封闭">'不动产比较法-仓储'!$B$89:$M$89</definedName>
    <definedName name="是否直接入户" localSheetId="45">'[1]不动产比较法-车位'!$B$95:$M$95</definedName>
    <definedName name="是否直接入户">'不动产比较法-车位'!$B$95:$M$95</definedName>
    <definedName name="四级">区片价!$L$1:$L$28</definedName>
    <definedName name="套工工程地质条件" localSheetId="45">'[1]比较法-工业'!$B$116:$M$116</definedName>
    <definedName name="套工工程地质条件">'比较法-工业'!$B$116:$M$116</definedName>
    <definedName name="套工交易情况" localSheetId="45">'[1]比较法-住宅'!$A$75:$M$75</definedName>
    <definedName name="套工交易情况">'比较法-住宅'!$A$75:$M$75</definedName>
    <definedName name="套工开发程度" localSheetId="45">'[1]比较法-工业'!$B$114:$M$114</definedName>
    <definedName name="套工开发程度">'比较法-工业'!$B$114:$M$114</definedName>
    <definedName name="套工临街等级" localSheetId="45">'[1]比较法-工业'!$B$99:$M$99</definedName>
    <definedName name="套工临街等级">'比较法-工业'!$B$99:$M$99</definedName>
    <definedName name="套工土地级别" localSheetId="45">'[1]比较法-工业'!$B$101:$M$101</definedName>
    <definedName name="套工土地级别">'比较法-工业'!$B$101:$M$101</definedName>
    <definedName name="套工用途" localSheetId="45">'[1]比较法-工业'!$B$72:$M$72</definedName>
    <definedName name="套工用途">'比较法-工业'!$B$72:$M$72</definedName>
    <definedName name="套工宗地形状" localSheetId="45">'[1]比较法-工业'!$B$112:$M$112</definedName>
    <definedName name="套工宗地形状">'比较法-工业'!$B$112:$M$112</definedName>
    <definedName name="套综道路等级" localSheetId="45">'[1]比较法-住宅'!$B$108:$M$108</definedName>
    <definedName name="套综道路等级">'比较法-住宅'!$B$108:$M$108</definedName>
    <definedName name="套综工程地质条件" localSheetId="45">'[1]比较法-住宅'!$B$127:$M$127</definedName>
    <definedName name="套综工程地质条件">'比较法-住宅'!$B$127:$M$127</definedName>
    <definedName name="套综交易情况" localSheetId="45">'[1]比较法-住宅'!$A$75:$M$75</definedName>
    <definedName name="套综交易情况">'比较法-住宅'!$A$75:$M$75</definedName>
    <definedName name="套综临街宽度及深度" localSheetId="45">'[1]比较法-住宅'!$B$123:$M$123</definedName>
    <definedName name="套综临街宽度及深度">'比较法-住宅'!$B$123:$M$123</definedName>
    <definedName name="套综土地级别" localSheetId="45">'[1]比较法-住宅'!$B$110:$M$110</definedName>
    <definedName name="套综土地级别">'比较法-住宅'!$B$110:$M$110</definedName>
    <definedName name="套综用途" localSheetId="45">'[1]比较法-住宅'!$B$77:$M$77</definedName>
    <definedName name="套综用途">'比较法-住宅'!$B$77:$M$77</definedName>
    <definedName name="套综宗地内开发程度" localSheetId="45">'[1]比较法-住宅'!$B$125:$M$125</definedName>
    <definedName name="套综宗地内开发程度">'比较法-住宅'!$B$125:$M$125</definedName>
    <definedName name="套综宗地形状" localSheetId="45">'[1]比较法-住宅'!$B$121:$M$121</definedName>
    <definedName name="套综宗地形状">'比较法-住宅'!$B$121:$M$121</definedName>
    <definedName name="土地估价师" localSheetId="45">[1]估价师及机构信息!$D$3:$D$16</definedName>
    <definedName name="土地估价师">估价师及机构信息!$D$3:$D$16</definedName>
    <definedName name="土地级别" localSheetId="45">[1]定义!$C$1:$C$14</definedName>
    <definedName name="土地级别">定义!$C$1:$C$14</definedName>
    <definedName name="土地利用方向">定义!$P$1:$P$6</definedName>
    <definedName name="土地年限区间" localSheetId="45">[1]定义!$I$1:$I$8</definedName>
    <definedName name="土地年限区间">定义!$I$1:$I$8</definedName>
    <definedName name="位置" localSheetId="45">[1]定义!$E$2:$E$4</definedName>
    <definedName name="位置">定义!$E$2:$E$4</definedName>
    <definedName name="五等判定" localSheetId="45">[1]定义!$W$1:$W$6</definedName>
    <definedName name="五等判定">定义!$W$1:$W$6</definedName>
    <definedName name="五级">区片价!$M$1:$M$35</definedName>
    <definedName name="项目类型" localSheetId="45">'[1]数据-汇总表'!$C$17:$C$26</definedName>
    <definedName name="项目类型">'数据-汇总表'!$C$17:$C$26</definedName>
    <definedName name="写字楼等级" localSheetId="45">'[1]不动产比较法-办公'!$B$113:$M$113</definedName>
    <definedName name="写字楼等级">'不动产比较法-办公'!$B$113:$M$113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类型" localSheetId="45">[1]定义!$A$1:$A$50</definedName>
    <definedName name="用途类型">定义!$A$1:$A$50</definedName>
    <definedName name="有无电梯" localSheetId="45">'[1]不动产比较法-仓储'!$B$84:$M$84</definedName>
    <definedName name="有无电梯">'不动产比较法-仓储'!$B$84:$M$84</definedName>
    <definedName name="主用途" localSheetId="45">[1]定义!$F$1:$F$10</definedName>
    <definedName name="主用途">定义!$F$1:$F$10</definedName>
    <definedName name="住宅朝向" localSheetId="45">'[1]不动产比较法-住宅'!$B$88:$M$88</definedName>
    <definedName name="住宅朝向">'不动产比较法-住宅'!$B$88:$M$88</definedName>
    <definedName name="住宅房型" localSheetId="45">'[1]不动产比较法-住宅'!$B$118:$M$118</definedName>
    <definedName name="住宅房型">'不动产比较法-住宅'!$B$118:$M$118</definedName>
    <definedName name="住宅公共部分装修" localSheetId="45">'[1]不动产比较法-住宅'!$B$109:$M$109</definedName>
    <definedName name="住宅公共部分装修">'不动产比较法-住宅'!$B$109:$M$109</definedName>
    <definedName name="住宅基础设施水平" localSheetId="45">'[1]不动产比较法-住宅'!$B$116:$M$116</definedName>
    <definedName name="住宅基础设施水平">'不动产比较法-住宅'!$B$116:$M$116</definedName>
    <definedName name="住宅建筑结构" localSheetId="45">'[1]不动产比较法-住宅'!$B$105:$M$105</definedName>
    <definedName name="住宅建筑结构">'不动产比较法-住宅'!$B$105:$M$105</definedName>
    <definedName name="住宅建筑类型" localSheetId="45">'[1]不动产比较法-住宅'!$B$100:$M$100</definedName>
    <definedName name="住宅建筑类型">'不动产比较法-住宅'!$B$100:$M$100</definedName>
    <definedName name="住宅建筑品质" localSheetId="45">'[1]不动产比较法-住宅'!$B$107:$M$107</definedName>
    <definedName name="住宅建筑品质">'不动产比较法-住宅'!$B$107:$M$107</definedName>
    <definedName name="住宅交易情况" localSheetId="45">'[1]不动产比较法-住宅'!$A$61:$M$61</definedName>
    <definedName name="住宅交易情况">'不动产比较法-住宅'!$A$61:$M$61</definedName>
    <definedName name="住宅楼层" localSheetId="45">'[1]不动产比较法-住宅'!$B$86:$M$86</definedName>
    <definedName name="住宅楼层">'不动产比较法-住宅'!$B$86:$M$86</definedName>
    <definedName name="住宅内部装修" localSheetId="45">'[1]不动产比较法-住宅'!$B$122:$M$122</definedName>
    <definedName name="住宅内部装修">'不动产比较法-住宅'!$B$122:$M$122</definedName>
    <definedName name="住宅物业管理" localSheetId="45">'[1]不动产比较法-住宅'!$B$114:$M$114</definedName>
    <definedName name="住宅物业管理">'不动产比较法-住宅'!$B$114:$M$114</definedName>
    <definedName name="住宅用途" localSheetId="45">'[1]不动产比较法-住宅'!$B$63:$M$63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25725"/>
</workbook>
</file>

<file path=xl/calcChain.xml><?xml version="1.0" encoding="utf-8"?>
<calcChain xmlns="http://schemas.openxmlformats.org/spreadsheetml/2006/main">
  <c r="M13" i="3"/>
  <c r="F23" i="69" l="1"/>
  <c r="F20" i="77" s="1"/>
  <c r="F24" i="69"/>
  <c r="F21" i="77" s="1"/>
  <c r="C19" i="72" l="1"/>
  <c r="F35" i="77" l="1"/>
  <c r="F35" i="15" l="1"/>
  <c r="E5" i="33"/>
  <c r="D29" i="72" l="1"/>
  <c r="E5" i="34" l="1"/>
  <c r="G5" i="33"/>
  <c r="E89"/>
  <c r="F89"/>
  <c r="G89"/>
  <c r="D89"/>
  <c r="Q73" i="77" l="1"/>
  <c r="Q60"/>
  <c r="D60"/>
  <c r="Q59"/>
  <c r="K59"/>
  <c r="P75" s="1"/>
  <c r="Q52"/>
  <c r="J50"/>
  <c r="M47"/>
  <c r="F33"/>
  <c r="F60" s="1"/>
  <c r="F23"/>
  <c r="D24" s="1"/>
  <c r="M19"/>
  <c r="F18"/>
  <c r="F17"/>
  <c r="F15"/>
  <c r="D22" l="1"/>
  <c r="P62"/>
  <c r="D23"/>
  <c r="J51"/>
  <c r="E11" i="68"/>
  <c r="E12"/>
  <c r="M14" i="3" l="1"/>
  <c r="K15"/>
  <c r="M15" s="1"/>
  <c r="D8" i="73"/>
  <c r="C8"/>
  <c r="F19" i="6" l="1"/>
  <c r="F113" i="72"/>
  <c r="N99"/>
  <c r="N108" s="1"/>
  <c r="M99"/>
  <c r="L99"/>
  <c r="L108" s="1"/>
  <c r="K99"/>
  <c r="J99"/>
  <c r="J108" s="1"/>
  <c r="I99"/>
  <c r="H99"/>
  <c r="H108" s="1"/>
  <c r="G99"/>
  <c r="F99"/>
  <c r="F108" s="1"/>
  <c r="E99"/>
  <c r="D99"/>
  <c r="D108" s="1"/>
  <c r="C99"/>
  <c r="M87"/>
  <c r="N87" s="1"/>
  <c r="K87"/>
  <c r="J87" s="1"/>
  <c r="D87"/>
  <c r="M86"/>
  <c r="N86" s="1"/>
  <c r="K86"/>
  <c r="J86" s="1"/>
  <c r="D86"/>
  <c r="M85"/>
  <c r="N85" s="1"/>
  <c r="K85"/>
  <c r="J85" s="1"/>
  <c r="D85"/>
  <c r="M84"/>
  <c r="N84" s="1"/>
  <c r="K84"/>
  <c r="J84" s="1"/>
  <c r="D84"/>
  <c r="M83"/>
  <c r="N83" s="1"/>
  <c r="K83"/>
  <c r="J83" s="1"/>
  <c r="D83"/>
  <c r="B83"/>
  <c r="N82"/>
  <c r="M82"/>
  <c r="K82"/>
  <c r="J82" s="1"/>
  <c r="D82"/>
  <c r="B82"/>
  <c r="M81"/>
  <c r="N81" s="1"/>
  <c r="K81"/>
  <c r="J81"/>
  <c r="D81"/>
  <c r="N80"/>
  <c r="M80"/>
  <c r="K80"/>
  <c r="J80" s="1"/>
  <c r="F80"/>
  <c r="H87" s="1"/>
  <c r="D80"/>
  <c r="E80" s="1"/>
  <c r="B78" s="1"/>
  <c r="N77"/>
  <c r="M77"/>
  <c r="K77"/>
  <c r="J77" s="1"/>
  <c r="D77"/>
  <c r="M76"/>
  <c r="N76" s="1"/>
  <c r="K76"/>
  <c r="J76" s="1"/>
  <c r="D76"/>
  <c r="M75"/>
  <c r="N75" s="1"/>
  <c r="K75"/>
  <c r="J75"/>
  <c r="D75"/>
  <c r="M74"/>
  <c r="N74" s="1"/>
  <c r="K74"/>
  <c r="J74"/>
  <c r="D74"/>
  <c r="M73"/>
  <c r="N73" s="1"/>
  <c r="K73"/>
  <c r="J73" s="1"/>
  <c r="D73"/>
  <c r="M72"/>
  <c r="N72" s="1"/>
  <c r="K72"/>
  <c r="J72"/>
  <c r="D72"/>
  <c r="N71"/>
  <c r="M71"/>
  <c r="K71"/>
  <c r="J71" s="1"/>
  <c r="D71"/>
  <c r="B71"/>
  <c r="M70"/>
  <c r="N70" s="1"/>
  <c r="K70"/>
  <c r="J70"/>
  <c r="D70"/>
  <c r="M69"/>
  <c r="N69" s="1"/>
  <c r="K69"/>
  <c r="J69" s="1"/>
  <c r="F69"/>
  <c r="H75" s="1"/>
  <c r="D69"/>
  <c r="E69" s="1"/>
  <c r="B67" s="1"/>
  <c r="B60"/>
  <c r="N55"/>
  <c r="M55"/>
  <c r="K55"/>
  <c r="J55" s="1"/>
  <c r="D55"/>
  <c r="M54"/>
  <c r="N54" s="1"/>
  <c r="K54"/>
  <c r="J54" s="1"/>
  <c r="D54"/>
  <c r="M53"/>
  <c r="N53" s="1"/>
  <c r="K53"/>
  <c r="J53" s="1"/>
  <c r="D53"/>
  <c r="M52"/>
  <c r="N52" s="1"/>
  <c r="K52"/>
  <c r="J52" s="1"/>
  <c r="D52"/>
  <c r="M51"/>
  <c r="N51" s="1"/>
  <c r="K51"/>
  <c r="J51" s="1"/>
  <c r="D51"/>
  <c r="M50"/>
  <c r="N50" s="1"/>
  <c r="K50"/>
  <c r="J50" s="1"/>
  <c r="D50"/>
  <c r="M49"/>
  <c r="N49" s="1"/>
  <c r="K49"/>
  <c r="J49" s="1"/>
  <c r="D49"/>
  <c r="B49"/>
  <c r="M48"/>
  <c r="N48" s="1"/>
  <c r="K48"/>
  <c r="J48" s="1"/>
  <c r="D48"/>
  <c r="M47"/>
  <c r="N47" s="1"/>
  <c r="K47"/>
  <c r="J47" s="1"/>
  <c r="F47"/>
  <c r="H54" s="1"/>
  <c r="D47"/>
  <c r="H39"/>
  <c r="H38"/>
  <c r="H37"/>
  <c r="H36"/>
  <c r="H35"/>
  <c r="H34"/>
  <c r="H33"/>
  <c r="J20"/>
  <c r="I19"/>
  <c r="C18"/>
  <c r="E4" i="68" s="1"/>
  <c r="F15" i="72"/>
  <c r="E15"/>
  <c r="D15"/>
  <c r="C15"/>
  <c r="Y12"/>
  <c r="Y10"/>
  <c r="C10"/>
  <c r="C11" s="1"/>
  <c r="E8" s="1"/>
  <c r="AJ9"/>
  <c r="AJ12" s="1"/>
  <c r="AI9"/>
  <c r="AI10" s="1"/>
  <c r="AH9"/>
  <c r="AH12" s="1"/>
  <c r="AG9"/>
  <c r="AG10" s="1"/>
  <c r="AF9"/>
  <c r="AF12" s="1"/>
  <c r="AE9"/>
  <c r="AE10" s="1"/>
  <c r="AD9"/>
  <c r="AD12" s="1"/>
  <c r="AC9"/>
  <c r="AC10" s="1"/>
  <c r="AB9"/>
  <c r="AB12" s="1"/>
  <c r="AA9"/>
  <c r="AA10" s="1"/>
  <c r="Z9"/>
  <c r="Z12" s="1"/>
  <c r="C9"/>
  <c r="A7"/>
  <c r="I2"/>
  <c r="M9" s="1"/>
  <c r="G2"/>
  <c r="D1"/>
  <c r="F113" i="71"/>
  <c r="L108"/>
  <c r="L100"/>
  <c r="H100"/>
  <c r="N99"/>
  <c r="N108" s="1"/>
  <c r="M99"/>
  <c r="L99"/>
  <c r="K99"/>
  <c r="J99"/>
  <c r="J108" s="1"/>
  <c r="I99"/>
  <c r="H99"/>
  <c r="H108" s="1"/>
  <c r="G99"/>
  <c r="F99"/>
  <c r="F108" s="1"/>
  <c r="E99"/>
  <c r="D99"/>
  <c r="D100" s="1"/>
  <c r="C99"/>
  <c r="M87"/>
  <c r="N87" s="1"/>
  <c r="K87"/>
  <c r="J87" s="1"/>
  <c r="D87"/>
  <c r="M86"/>
  <c r="N86" s="1"/>
  <c r="K86"/>
  <c r="J86" s="1"/>
  <c r="D86"/>
  <c r="M85"/>
  <c r="N85" s="1"/>
  <c r="K85"/>
  <c r="J85" s="1"/>
  <c r="D85"/>
  <c r="M84"/>
  <c r="N84" s="1"/>
  <c r="K84"/>
  <c r="J84" s="1"/>
  <c r="D84"/>
  <c r="M83"/>
  <c r="N83" s="1"/>
  <c r="K83"/>
  <c r="J83" s="1"/>
  <c r="D83"/>
  <c r="B83"/>
  <c r="M82"/>
  <c r="N82" s="1"/>
  <c r="K82"/>
  <c r="J82" s="1"/>
  <c r="D82"/>
  <c r="B82"/>
  <c r="M81"/>
  <c r="N81" s="1"/>
  <c r="K81"/>
  <c r="J81" s="1"/>
  <c r="D81"/>
  <c r="N80"/>
  <c r="M80"/>
  <c r="K80"/>
  <c r="J80" s="1"/>
  <c r="F80"/>
  <c r="H86" s="1"/>
  <c r="D80"/>
  <c r="M77"/>
  <c r="N77" s="1"/>
  <c r="K77"/>
  <c r="J77"/>
  <c r="D77"/>
  <c r="M76"/>
  <c r="N76" s="1"/>
  <c r="K76"/>
  <c r="J76"/>
  <c r="D76"/>
  <c r="M75"/>
  <c r="N75" s="1"/>
  <c r="K75"/>
  <c r="J75" s="1"/>
  <c r="D75"/>
  <c r="N74"/>
  <c r="M74"/>
  <c r="K74"/>
  <c r="J74" s="1"/>
  <c r="D74"/>
  <c r="M73"/>
  <c r="N73" s="1"/>
  <c r="K73"/>
  <c r="J73"/>
  <c r="D73"/>
  <c r="M72"/>
  <c r="N72" s="1"/>
  <c r="K72"/>
  <c r="J72" s="1"/>
  <c r="D72"/>
  <c r="M71"/>
  <c r="N71" s="1"/>
  <c r="K71"/>
  <c r="J71"/>
  <c r="D71"/>
  <c r="B71"/>
  <c r="M70"/>
  <c r="N70" s="1"/>
  <c r="K70"/>
  <c r="J70" s="1"/>
  <c r="D70"/>
  <c r="M69"/>
  <c r="N69" s="1"/>
  <c r="K69"/>
  <c r="J69"/>
  <c r="F69"/>
  <c r="H75" s="1"/>
  <c r="D69"/>
  <c r="M66"/>
  <c r="N66" s="1"/>
  <c r="K66"/>
  <c r="J66"/>
  <c r="D66"/>
  <c r="N65"/>
  <c r="M65"/>
  <c r="K65"/>
  <c r="J65" s="1"/>
  <c r="D65"/>
  <c r="M64"/>
  <c r="N64" s="1"/>
  <c r="K64"/>
  <c r="J64" s="1"/>
  <c r="D64"/>
  <c r="N63"/>
  <c r="M63"/>
  <c r="K63"/>
  <c r="J63" s="1"/>
  <c r="D63"/>
  <c r="N62"/>
  <c r="M62"/>
  <c r="K62"/>
  <c r="J62" s="1"/>
  <c r="D62"/>
  <c r="M61"/>
  <c r="N61" s="1"/>
  <c r="K61"/>
  <c r="J61" s="1"/>
  <c r="D61"/>
  <c r="M60"/>
  <c r="N60" s="1"/>
  <c r="K60"/>
  <c r="J60" s="1"/>
  <c r="D60"/>
  <c r="B60"/>
  <c r="N59"/>
  <c r="M59"/>
  <c r="K59"/>
  <c r="J59" s="1"/>
  <c r="D59"/>
  <c r="M58"/>
  <c r="N58" s="1"/>
  <c r="K58"/>
  <c r="J58" s="1"/>
  <c r="F58"/>
  <c r="H65" s="1"/>
  <c r="D58"/>
  <c r="B49"/>
  <c r="H39"/>
  <c r="H38"/>
  <c r="H37"/>
  <c r="H36"/>
  <c r="H35"/>
  <c r="H34"/>
  <c r="H33"/>
  <c r="J20"/>
  <c r="I19"/>
  <c r="C18"/>
  <c r="E3" i="68" s="1"/>
  <c r="F15" i="71"/>
  <c r="E15"/>
  <c r="D15"/>
  <c r="C15"/>
  <c r="C12" s="1"/>
  <c r="AH12"/>
  <c r="AB12"/>
  <c r="Z12"/>
  <c r="Y12"/>
  <c r="Y10"/>
  <c r="C10"/>
  <c r="C11" s="1"/>
  <c r="AJ9"/>
  <c r="AJ10" s="1"/>
  <c r="AI9"/>
  <c r="AI12" s="1"/>
  <c r="AH9"/>
  <c r="AH10" s="1"/>
  <c r="AG9"/>
  <c r="AG12" s="1"/>
  <c r="AF9"/>
  <c r="AF10" s="1"/>
  <c r="AE9"/>
  <c r="AE12" s="1"/>
  <c r="AD9"/>
  <c r="AD10" s="1"/>
  <c r="AC9"/>
  <c r="AC12" s="1"/>
  <c r="AB9"/>
  <c r="AB10" s="1"/>
  <c r="AA9"/>
  <c r="AA12" s="1"/>
  <c r="Z9"/>
  <c r="Z10" s="1"/>
  <c r="C9"/>
  <c r="A7"/>
  <c r="I2"/>
  <c r="M12" s="1"/>
  <c r="G2"/>
  <c r="N17" s="1"/>
  <c r="D1"/>
  <c r="F25" i="70"/>
  <c r="C25" s="1"/>
  <c r="F24"/>
  <c r="F23"/>
  <c r="E22"/>
  <c r="E21"/>
  <c r="F17"/>
  <c r="E16"/>
  <c r="F15"/>
  <c r="F14"/>
  <c r="K9"/>
  <c r="J9"/>
  <c r="I9"/>
  <c r="H9"/>
  <c r="G9"/>
  <c r="F9"/>
  <c r="E9"/>
  <c r="D9"/>
  <c r="F25" i="69"/>
  <c r="C25" s="1"/>
  <c r="E22"/>
  <c r="E21"/>
  <c r="F17"/>
  <c r="E16"/>
  <c r="F15"/>
  <c r="F14"/>
  <c r="K9"/>
  <c r="J9"/>
  <c r="I9"/>
  <c r="H9"/>
  <c r="G9"/>
  <c r="F9"/>
  <c r="E9"/>
  <c r="D9"/>
  <c r="K7" i="68"/>
  <c r="N1" i="72" l="1"/>
  <c r="E47"/>
  <c r="B45" s="1"/>
  <c r="E9"/>
  <c r="D108" i="71"/>
  <c r="E10" i="72"/>
  <c r="E58" i="71"/>
  <c r="B56" s="1"/>
  <c r="E11" i="72"/>
  <c r="E69" i="71"/>
  <c r="B67" s="1"/>
  <c r="AA12" i="72"/>
  <c r="AE12"/>
  <c r="AD12" i="71"/>
  <c r="AF12"/>
  <c r="E80"/>
  <c r="B78" s="1"/>
  <c r="AI12" i="72"/>
  <c r="C12"/>
  <c r="AJ12" i="71"/>
  <c r="M1"/>
  <c r="H50" i="72"/>
  <c r="H73"/>
  <c r="H84"/>
  <c r="H47"/>
  <c r="H55"/>
  <c r="H69"/>
  <c r="H77"/>
  <c r="H80"/>
  <c r="M4"/>
  <c r="N6"/>
  <c r="M7"/>
  <c r="M8"/>
  <c r="M1"/>
  <c r="M2"/>
  <c r="N3"/>
  <c r="N5"/>
  <c r="H49"/>
  <c r="H53"/>
  <c r="H71"/>
  <c r="H76"/>
  <c r="H82"/>
  <c r="H80" i="71"/>
  <c r="X7"/>
  <c r="Z10" i="72"/>
  <c r="AD10"/>
  <c r="AH10"/>
  <c r="O17"/>
  <c r="M17"/>
  <c r="K17"/>
  <c r="I17"/>
  <c r="D17"/>
  <c r="H113"/>
  <c r="F39"/>
  <c r="F38"/>
  <c r="F37"/>
  <c r="F36"/>
  <c r="F35"/>
  <c r="F34"/>
  <c r="F33"/>
  <c r="N17"/>
  <c r="L17"/>
  <c r="J17"/>
  <c r="H17"/>
  <c r="C17"/>
  <c r="N12"/>
  <c r="M11"/>
  <c r="M10"/>
  <c r="N2"/>
  <c r="M3"/>
  <c r="N4"/>
  <c r="M5"/>
  <c r="M6"/>
  <c r="N7"/>
  <c r="X7"/>
  <c r="N8"/>
  <c r="N9"/>
  <c r="N10"/>
  <c r="F58" s="1"/>
  <c r="AB10"/>
  <c r="AF10"/>
  <c r="AJ10"/>
  <c r="N11"/>
  <c r="M12"/>
  <c r="AC12"/>
  <c r="AG12"/>
  <c r="H48"/>
  <c r="H51"/>
  <c r="H52"/>
  <c r="H70"/>
  <c r="H72"/>
  <c r="H74"/>
  <c r="H81"/>
  <c r="H83"/>
  <c r="H85"/>
  <c r="H86"/>
  <c r="C108"/>
  <c r="C100"/>
  <c r="E108"/>
  <c r="E100"/>
  <c r="G108"/>
  <c r="G100"/>
  <c r="I108"/>
  <c r="I100"/>
  <c r="K108"/>
  <c r="K100"/>
  <c r="M108"/>
  <c r="M100"/>
  <c r="D100"/>
  <c r="H100"/>
  <c r="L100"/>
  <c r="F100"/>
  <c r="J100"/>
  <c r="N100"/>
  <c r="E11" i="71"/>
  <c r="E10"/>
  <c r="E9"/>
  <c r="E8"/>
  <c r="M10"/>
  <c r="AA10"/>
  <c r="AC10"/>
  <c r="AE10"/>
  <c r="AG10"/>
  <c r="AI10"/>
  <c r="M11"/>
  <c r="N12"/>
  <c r="C17"/>
  <c r="H17"/>
  <c r="J17"/>
  <c r="L17"/>
  <c r="N2"/>
  <c r="M3"/>
  <c r="N4"/>
  <c r="M5"/>
  <c r="M6"/>
  <c r="N7"/>
  <c r="N8"/>
  <c r="N9"/>
  <c r="N1"/>
  <c r="H113"/>
  <c r="F39"/>
  <c r="F38"/>
  <c r="F37"/>
  <c r="F36"/>
  <c r="F35"/>
  <c r="F34"/>
  <c r="F33"/>
  <c r="M2"/>
  <c r="N3"/>
  <c r="M4"/>
  <c r="N5"/>
  <c r="N6"/>
  <c r="M7"/>
  <c r="M8"/>
  <c r="M9"/>
  <c r="N10"/>
  <c r="F47" s="1"/>
  <c r="N11"/>
  <c r="D17"/>
  <c r="I17"/>
  <c r="K17"/>
  <c r="M17"/>
  <c r="O17"/>
  <c r="H58"/>
  <c r="H60"/>
  <c r="H61"/>
  <c r="H64"/>
  <c r="H66"/>
  <c r="H69"/>
  <c r="H71"/>
  <c r="H73"/>
  <c r="H76"/>
  <c r="H77"/>
  <c r="H82"/>
  <c r="H84"/>
  <c r="H87"/>
  <c r="F100"/>
  <c r="J100"/>
  <c r="N100"/>
  <c r="H59"/>
  <c r="H62"/>
  <c r="H63"/>
  <c r="H70"/>
  <c r="H72"/>
  <c r="H74"/>
  <c r="H81"/>
  <c r="H83"/>
  <c r="H85"/>
  <c r="C108"/>
  <c r="C100"/>
  <c r="E108"/>
  <c r="E100"/>
  <c r="G108"/>
  <c r="G100"/>
  <c r="I108"/>
  <c r="I100"/>
  <c r="K108"/>
  <c r="K100"/>
  <c r="M108"/>
  <c r="M100"/>
  <c r="C6" l="1"/>
  <c r="B3" i="68" s="1"/>
  <c r="C7" i="72"/>
  <c r="C6"/>
  <c r="B4" i="68" s="1"/>
  <c r="H65" i="72"/>
  <c r="G65" s="1"/>
  <c r="H64"/>
  <c r="G64" s="1"/>
  <c r="H60"/>
  <c r="G60" s="1"/>
  <c r="H66"/>
  <c r="G66" s="1"/>
  <c r="H61"/>
  <c r="G61" s="1"/>
  <c r="H58"/>
  <c r="G58" s="1"/>
  <c r="H59"/>
  <c r="G59" s="1"/>
  <c r="H63"/>
  <c r="G63" s="1"/>
  <c r="H62"/>
  <c r="G62" s="1"/>
  <c r="G17"/>
  <c r="H54" i="71"/>
  <c r="G54" s="1"/>
  <c r="H49"/>
  <c r="G49" s="1"/>
  <c r="H53"/>
  <c r="G53" s="1"/>
  <c r="H48"/>
  <c r="G48" s="1"/>
  <c r="H52"/>
  <c r="G52" s="1"/>
  <c r="H47"/>
  <c r="G47" s="1"/>
  <c r="H50"/>
  <c r="G50" s="1"/>
  <c r="H55"/>
  <c r="G55" s="1"/>
  <c r="H51"/>
  <c r="G51" s="1"/>
  <c r="G17"/>
  <c r="C7"/>
  <c r="C3" i="68" s="1"/>
  <c r="AH5" i="59"/>
  <c r="AG5"/>
  <c r="AE5"/>
  <c r="AF5" s="1"/>
  <c r="AD5"/>
  <c r="Q5"/>
  <c r="P5"/>
  <c r="O5"/>
  <c r="N5"/>
  <c r="K52" i="71" l="1"/>
  <c r="J52" s="1"/>
  <c r="M52"/>
  <c r="K55"/>
  <c r="J55" s="1"/>
  <c r="D55" s="1"/>
  <c r="M55"/>
  <c r="N55" s="1"/>
  <c r="M47"/>
  <c r="N47" s="1"/>
  <c r="K47"/>
  <c r="M48"/>
  <c r="N48" s="1"/>
  <c r="K48"/>
  <c r="M49"/>
  <c r="N49" s="1"/>
  <c r="K49"/>
  <c r="K63" i="72"/>
  <c r="J63" s="1"/>
  <c r="M63"/>
  <c r="M58"/>
  <c r="N58" s="1"/>
  <c r="K58"/>
  <c r="K66"/>
  <c r="J66" s="1"/>
  <c r="D66" s="1"/>
  <c r="M66"/>
  <c r="N66" s="1"/>
  <c r="K64"/>
  <c r="M64"/>
  <c r="N64" s="1"/>
  <c r="M51" i="71"/>
  <c r="N51" s="1"/>
  <c r="K51"/>
  <c r="M50"/>
  <c r="N50" s="1"/>
  <c r="K50"/>
  <c r="K53"/>
  <c r="M53"/>
  <c r="N53" s="1"/>
  <c r="K54"/>
  <c r="M54"/>
  <c r="N54" s="1"/>
  <c r="K62" i="72"/>
  <c r="M62"/>
  <c r="N62" s="1"/>
  <c r="M59"/>
  <c r="N59" s="1"/>
  <c r="K59"/>
  <c r="M61"/>
  <c r="N61" s="1"/>
  <c r="K61"/>
  <c r="M60"/>
  <c r="N60" s="1"/>
  <c r="K60"/>
  <c r="K65"/>
  <c r="M65"/>
  <c r="N65" s="1"/>
  <c r="AH6" i="59"/>
  <c r="AG6"/>
  <c r="AE6"/>
  <c r="AF6" s="1"/>
  <c r="AD6"/>
  <c r="Q6"/>
  <c r="P6"/>
  <c r="O6"/>
  <c r="N6"/>
  <c r="J60" i="72" l="1"/>
  <c r="D60"/>
  <c r="J58"/>
  <c r="D58"/>
  <c r="J49" i="71"/>
  <c r="D49"/>
  <c r="J47"/>
  <c r="D47"/>
  <c r="J53"/>
  <c r="D53"/>
  <c r="J64" i="72"/>
  <c r="D64"/>
  <c r="J65"/>
  <c r="D65" s="1"/>
  <c r="J62"/>
  <c r="D62"/>
  <c r="J54" i="71"/>
  <c r="D54" s="1"/>
  <c r="J61" i="72"/>
  <c r="D61"/>
  <c r="J59"/>
  <c r="D59"/>
  <c r="J50" i="71"/>
  <c r="D50"/>
  <c r="J51"/>
  <c r="D51"/>
  <c r="N63" i="72"/>
  <c r="D63"/>
  <c r="J48" i="71"/>
  <c r="D48"/>
  <c r="N52"/>
  <c r="D52"/>
  <c r="AH7" i="59"/>
  <c r="AG7"/>
  <c r="AE7"/>
  <c r="AF7" s="1"/>
  <c r="AD7"/>
  <c r="Q7"/>
  <c r="P7"/>
  <c r="O7"/>
  <c r="N7"/>
  <c r="E47" i="71" l="1"/>
  <c r="B45" s="1"/>
  <c r="C24" s="1"/>
  <c r="I3" i="68" s="1"/>
  <c r="E58" i="72"/>
  <c r="B56" s="1"/>
  <c r="C24" s="1"/>
  <c r="I4" i="68" s="1"/>
  <c r="F25" i="12" l="1"/>
  <c r="C25" s="1"/>
  <c r="C16" i="11" l="1"/>
  <c r="C15"/>
  <c r="C14"/>
  <c r="C9"/>
  <c r="C8"/>
  <c r="K36" i="36" l="1"/>
  <c r="K38" i="35"/>
  <c r="K42" i="37"/>
  <c r="K49" i="34"/>
  <c r="K48" i="33" l="1"/>
  <c r="K48" i="21"/>
  <c r="K44" i="40" l="1"/>
  <c r="K49" i="39"/>
  <c r="E77" i="9"/>
  <c r="F77"/>
  <c r="AH8" i="59" l="1"/>
  <c r="AG8"/>
  <c r="AE8"/>
  <c r="AF8" s="1"/>
  <c r="AD8"/>
  <c r="Q8"/>
  <c r="P8"/>
  <c r="O8"/>
  <c r="N8"/>
  <c r="A21" i="31" l="1"/>
  <c r="C109" i="9" l="1"/>
  <c r="AH9" i="59" l="1"/>
  <c r="AG9"/>
  <c r="AE9"/>
  <c r="AF9" s="1"/>
  <c r="AD9"/>
  <c r="Q9"/>
  <c r="P9"/>
  <c r="O9"/>
  <c r="N9"/>
  <c r="Q11" l="1"/>
  <c r="P11"/>
  <c r="O11"/>
  <c r="N11"/>
  <c r="AH10"/>
  <c r="AG10"/>
  <c r="AE10"/>
  <c r="AF10" s="1"/>
  <c r="AD10"/>
  <c r="Q10"/>
  <c r="P10"/>
  <c r="O10"/>
  <c r="N10"/>
  <c r="AH11"/>
  <c r="AG11"/>
  <c r="AE11"/>
  <c r="AF11" s="1"/>
  <c r="AD11"/>
  <c r="Q12"/>
  <c r="Q13"/>
  <c r="P12"/>
  <c r="P13"/>
  <c r="O12"/>
  <c r="O13"/>
  <c r="N12"/>
  <c r="N13"/>
  <c r="AH12"/>
  <c r="AG12"/>
  <c r="AE12"/>
  <c r="AF12"/>
  <c r="AD12"/>
  <c r="AH13"/>
  <c r="AG13"/>
  <c r="AE13"/>
  <c r="AF13" s="1"/>
  <c r="AD13"/>
  <c r="M15" i="49"/>
  <c r="L15"/>
  <c r="K15"/>
  <c r="J15"/>
  <c r="I15"/>
  <c r="H15"/>
  <c r="G15"/>
  <c r="F15"/>
  <c r="E15"/>
  <c r="D15"/>
  <c r="C15"/>
  <c r="B15"/>
  <c r="AH14" i="59"/>
  <c r="AG14"/>
  <c r="AF14"/>
  <c r="AE14"/>
  <c r="AD14"/>
  <c r="Q14"/>
  <c r="P14"/>
  <c r="O14"/>
  <c r="N14"/>
  <c r="L3"/>
  <c r="AH3" s="1"/>
  <c r="K3"/>
  <c r="AG3" s="1"/>
  <c r="J3"/>
  <c r="AE3" s="1"/>
  <c r="AF3" s="1"/>
  <c r="I3"/>
  <c r="AD3" s="1"/>
  <c r="AH15"/>
  <c r="AG15"/>
  <c r="AE15"/>
  <c r="AF15" s="1"/>
  <c r="AD15"/>
  <c r="Q15"/>
  <c r="Q16"/>
  <c r="P15"/>
  <c r="P16"/>
  <c r="O15"/>
  <c r="O16"/>
  <c r="N15"/>
  <c r="N16"/>
  <c r="AH16"/>
  <c r="AG16"/>
  <c r="AE16"/>
  <c r="AF16"/>
  <c r="AD16"/>
  <c r="Q17"/>
  <c r="P17"/>
  <c r="O17"/>
  <c r="N17"/>
  <c r="J50" i="15"/>
  <c r="J51" s="1"/>
  <c r="D19" i="59"/>
  <c r="AH17"/>
  <c r="AG17"/>
  <c r="AE17"/>
  <c r="AF17"/>
  <c r="AD17"/>
  <c r="AE18"/>
  <c r="AF18"/>
  <c r="AG18"/>
  <c r="AH18"/>
  <c r="AD18"/>
  <c r="Q18"/>
  <c r="P18"/>
  <c r="O18"/>
  <c r="N18"/>
  <c r="N19"/>
  <c r="Q19"/>
  <c r="P19"/>
  <c r="O19"/>
  <c r="K59" i="15"/>
  <c r="P75" s="1"/>
  <c r="P62"/>
  <c r="Q74" i="44"/>
  <c r="Q61"/>
  <c r="Q60"/>
  <c r="Q53"/>
  <c r="J51"/>
  <c r="J52" s="1"/>
  <c r="M48"/>
  <c r="A16" i="55"/>
  <c r="A15"/>
  <c r="B66" i="63" s="1"/>
  <c r="A14" i="55"/>
  <c r="A11"/>
  <c r="A10"/>
  <c r="B61" i="63" s="1"/>
  <c r="A9" i="55"/>
  <c r="B60" i="63" s="1"/>
  <c r="A8" i="55"/>
  <c r="B59" i="63" s="1"/>
  <c r="A6" i="54"/>
  <c r="A8"/>
  <c r="A7"/>
  <c r="B51" i="63" s="1"/>
  <c r="A27" i="51"/>
  <c r="B20" i="63" s="1"/>
  <c r="Q20" i="59"/>
  <c r="O20"/>
  <c r="N21"/>
  <c r="O21"/>
  <c r="P21"/>
  <c r="Q21"/>
  <c r="N20"/>
  <c r="P20"/>
  <c r="K75" i="9"/>
  <c r="K6" i="4"/>
  <c r="L76" i="9" s="1"/>
  <c r="O76"/>
  <c r="K76"/>
  <c r="B22" i="31"/>
  <c r="E15" i="66"/>
  <c r="F15"/>
  <c r="E16"/>
  <c r="F16"/>
  <c r="E17"/>
  <c r="F17"/>
  <c r="E18"/>
  <c r="F18"/>
  <c r="E19"/>
  <c r="F19"/>
  <c r="E20"/>
  <c r="F20"/>
  <c r="E21"/>
  <c r="F21"/>
  <c r="E22"/>
  <c r="F22"/>
  <c r="E23"/>
  <c r="F23"/>
  <c r="B3"/>
  <c r="B18" i="59"/>
  <c r="B17" s="1"/>
  <c r="B16" s="1"/>
  <c r="E18"/>
  <c r="U18" s="1"/>
  <c r="E17"/>
  <c r="E16"/>
  <c r="E15" s="1"/>
  <c r="E14" s="1"/>
  <c r="S18"/>
  <c r="AD19"/>
  <c r="AE19"/>
  <c r="AF19"/>
  <c r="AG19"/>
  <c r="AH19"/>
  <c r="AD20"/>
  <c r="AE20"/>
  <c r="AF20" s="1"/>
  <c r="AG20"/>
  <c r="AH20"/>
  <c r="AD21"/>
  <c r="AE21"/>
  <c r="AF21"/>
  <c r="AG21"/>
  <c r="AH21"/>
  <c r="AD22"/>
  <c r="AE22"/>
  <c r="AF22" s="1"/>
  <c r="AG22"/>
  <c r="AH22"/>
  <c r="AD23"/>
  <c r="AE23"/>
  <c r="AF23" s="1"/>
  <c r="AG23"/>
  <c r="AH23"/>
  <c r="AD24"/>
  <c r="AE24"/>
  <c r="AF24"/>
  <c r="AG24"/>
  <c r="AH24"/>
  <c r="AD25"/>
  <c r="AE25"/>
  <c r="AF25"/>
  <c r="AG25"/>
  <c r="AH25"/>
  <c r="AD26"/>
  <c r="AE26"/>
  <c r="AF26" s="1"/>
  <c r="AG26"/>
  <c r="AH26"/>
  <c r="AD27"/>
  <c r="AE27"/>
  <c r="AF27" s="1"/>
  <c r="AG27"/>
  <c r="AH27"/>
  <c r="AD28"/>
  <c r="AE28"/>
  <c r="AF28"/>
  <c r="AG28"/>
  <c r="AH28"/>
  <c r="AD29"/>
  <c r="AE29"/>
  <c r="AF29" s="1"/>
  <c r="AG29"/>
  <c r="AH29"/>
  <c r="AD30"/>
  <c r="AE30"/>
  <c r="AF30"/>
  <c r="AG30"/>
  <c r="AH30"/>
  <c r="AD31"/>
  <c r="AE31"/>
  <c r="AF31"/>
  <c r="AG31"/>
  <c r="AH31"/>
  <c r="AD32"/>
  <c r="AE32"/>
  <c r="AF32" s="1"/>
  <c r="AG32"/>
  <c r="AH32"/>
  <c r="AH33"/>
  <c r="AG33"/>
  <c r="AE33"/>
  <c r="AF33" s="1"/>
  <c r="AD33"/>
  <c r="AD34"/>
  <c r="AE34"/>
  <c r="AF34" s="1"/>
  <c r="AG34"/>
  <c r="AH34"/>
  <c r="S2" i="31"/>
  <c r="M2"/>
  <c r="N2"/>
  <c r="O2"/>
  <c r="P2"/>
  <c r="Q2"/>
  <c r="R2"/>
  <c r="C18" i="59"/>
  <c r="C17" s="1"/>
  <c r="C3" i="65"/>
  <c r="C1"/>
  <c r="N1" s="1"/>
  <c r="D18" i="59"/>
  <c r="B76" i="63"/>
  <c r="M5" i="54"/>
  <c r="B41" i="63" s="1"/>
  <c r="A23" i="51"/>
  <c r="B17" i="63" s="1"/>
  <c r="Y12" i="46"/>
  <c r="AA9"/>
  <c r="AA12" s="1"/>
  <c r="AB9"/>
  <c r="AB10" s="1"/>
  <c r="AC9"/>
  <c r="AD9"/>
  <c r="AD10"/>
  <c r="AE9"/>
  <c r="AF9"/>
  <c r="AF10"/>
  <c r="AG9"/>
  <c r="AG10" s="1"/>
  <c r="AH9"/>
  <c r="AH10" s="1"/>
  <c r="AI9"/>
  <c r="AI10" s="1"/>
  <c r="AJ9"/>
  <c r="AJ10" s="1"/>
  <c r="Z9"/>
  <c r="Z10" s="1"/>
  <c r="AE10"/>
  <c r="AC10"/>
  <c r="Y10"/>
  <c r="Z12"/>
  <c r="AI12"/>
  <c r="AG12"/>
  <c r="AE12"/>
  <c r="AC12"/>
  <c r="B73" i="63"/>
  <c r="A21" i="64"/>
  <c r="B75" i="63" s="1"/>
  <c r="A28" i="64"/>
  <c r="A27"/>
  <c r="A15"/>
  <c r="A14"/>
  <c r="A11"/>
  <c r="A3"/>
  <c r="A45" i="9"/>
  <c r="K40" s="1"/>
  <c r="A44"/>
  <c r="C57" i="10"/>
  <c r="A28" i="51" s="1"/>
  <c r="B21" i="63" s="1"/>
  <c r="C56" i="10"/>
  <c r="A26" i="51" s="1"/>
  <c r="B19" i="63" s="1"/>
  <c r="C55" i="10"/>
  <c r="C54"/>
  <c r="B49" i="63"/>
  <c r="B44"/>
  <c r="B40"/>
  <c r="B30"/>
  <c r="B27"/>
  <c r="B25"/>
  <c r="A11" i="51"/>
  <c r="B10" i="63" s="1"/>
  <c r="K39" i="9"/>
  <c r="B58" i="63"/>
  <c r="B53"/>
  <c r="A46" i="9"/>
  <c r="K41" s="1"/>
  <c r="B8" i="63"/>
  <c r="A21" i="55"/>
  <c r="B71" i="63" s="1"/>
  <c r="A20" i="55"/>
  <c r="B69" i="63" s="1"/>
  <c r="B26"/>
  <c r="B28"/>
  <c r="B29"/>
  <c r="B31"/>
  <c r="B33"/>
  <c r="B35"/>
  <c r="B36"/>
  <c r="B37"/>
  <c r="B63"/>
  <c r="B64"/>
  <c r="B68"/>
  <c r="D51" i="10"/>
  <c r="B51"/>
  <c r="A15" i="51"/>
  <c r="B12" i="63" s="1"/>
  <c r="A14" i="51"/>
  <c r="B11" i="63"/>
  <c r="A4" i="55"/>
  <c r="B57" i="63" s="1"/>
  <c r="G5" i="54"/>
  <c r="B34" i="63" s="1"/>
  <c r="E5" i="54"/>
  <c r="B32" i="63" s="1"/>
  <c r="R2" i="54"/>
  <c r="B24" i="63" s="1"/>
  <c r="B49" i="50"/>
  <c r="B5" i="63"/>
  <c r="B40" i="50"/>
  <c r="B3" i="63" s="1"/>
  <c r="B67"/>
  <c r="I19" i="46"/>
  <c r="Q22" i="59"/>
  <c r="F22" s="1"/>
  <c r="P22"/>
  <c r="O22"/>
  <c r="N22"/>
  <c r="D83"/>
  <c r="F82"/>
  <c r="F81" s="1"/>
  <c r="F80" s="1"/>
  <c r="E82"/>
  <c r="E81"/>
  <c r="E80"/>
  <c r="C82"/>
  <c r="D82" s="1"/>
  <c r="B82"/>
  <c r="B81"/>
  <c r="B80"/>
  <c r="D79"/>
  <c r="F78"/>
  <c r="F77" s="1"/>
  <c r="F76" s="1"/>
  <c r="E78"/>
  <c r="E77"/>
  <c r="E76"/>
  <c r="C78"/>
  <c r="D78" s="1"/>
  <c r="B78"/>
  <c r="B77"/>
  <c r="B76"/>
  <c r="D75"/>
  <c r="Q74"/>
  <c r="P74"/>
  <c r="O74"/>
  <c r="N74"/>
  <c r="F74"/>
  <c r="V74" s="1"/>
  <c r="E74"/>
  <c r="U74"/>
  <c r="C74"/>
  <c r="T74"/>
  <c r="B74"/>
  <c r="B73" s="1"/>
  <c r="B72" s="1"/>
  <c r="S74"/>
  <c r="Q73"/>
  <c r="P73"/>
  <c r="O73"/>
  <c r="N73"/>
  <c r="F73"/>
  <c r="F72" s="1"/>
  <c r="Q72"/>
  <c r="P72"/>
  <c r="O72"/>
  <c r="N72"/>
  <c r="Q71"/>
  <c r="P71"/>
  <c r="O71"/>
  <c r="N71"/>
  <c r="D71"/>
  <c r="Q70"/>
  <c r="P70"/>
  <c r="O70"/>
  <c r="N70"/>
  <c r="F70"/>
  <c r="V70"/>
  <c r="E70"/>
  <c r="U70"/>
  <c r="C70"/>
  <c r="T70"/>
  <c r="B70"/>
  <c r="Q69"/>
  <c r="P69"/>
  <c r="O69"/>
  <c r="N69"/>
  <c r="F69"/>
  <c r="F68"/>
  <c r="Q68"/>
  <c r="P68"/>
  <c r="O68"/>
  <c r="N68"/>
  <c r="Q67"/>
  <c r="P67"/>
  <c r="O67"/>
  <c r="N67"/>
  <c r="D67"/>
  <c r="Q66"/>
  <c r="P66"/>
  <c r="O66"/>
  <c r="N66"/>
  <c r="F66"/>
  <c r="V66"/>
  <c r="E66"/>
  <c r="U66" s="1"/>
  <c r="C66"/>
  <c r="T66"/>
  <c r="B66"/>
  <c r="S66"/>
  <c r="Q65"/>
  <c r="P65"/>
  <c r="O65"/>
  <c r="N65"/>
  <c r="F65"/>
  <c r="F64"/>
  <c r="B65"/>
  <c r="B64" s="1"/>
  <c r="Q64"/>
  <c r="P64"/>
  <c r="O64"/>
  <c r="N64"/>
  <c r="Q63"/>
  <c r="P63"/>
  <c r="O63"/>
  <c r="N63"/>
  <c r="D63"/>
  <c r="F62"/>
  <c r="E62"/>
  <c r="E61" s="1"/>
  <c r="C62"/>
  <c r="B62"/>
  <c r="N62"/>
  <c r="B61"/>
  <c r="N61" s="1"/>
  <c r="D59"/>
  <c r="Q58"/>
  <c r="P58"/>
  <c r="O58"/>
  <c r="N58"/>
  <c r="Q57"/>
  <c r="P57"/>
  <c r="O57"/>
  <c r="N57"/>
  <c r="Q56"/>
  <c r="P56"/>
  <c r="O56"/>
  <c r="N56"/>
  <c r="Q55"/>
  <c r="F56" s="1"/>
  <c r="F57" s="1"/>
  <c r="P55"/>
  <c r="E56" s="1"/>
  <c r="E57" s="1"/>
  <c r="E58" s="1"/>
  <c r="U58" s="1"/>
  <c r="O55"/>
  <c r="C56" s="1"/>
  <c r="N55"/>
  <c r="B56"/>
  <c r="B57" s="1"/>
  <c r="B58" s="1"/>
  <c r="S58" s="1"/>
  <c r="D55"/>
  <c r="Q54"/>
  <c r="P54"/>
  <c r="O54"/>
  <c r="N54"/>
  <c r="Q53"/>
  <c r="P53"/>
  <c r="O53"/>
  <c r="N53"/>
  <c r="Q52"/>
  <c r="P52"/>
  <c r="O52"/>
  <c r="N52"/>
  <c r="Q51"/>
  <c r="F52"/>
  <c r="P51"/>
  <c r="E52"/>
  <c r="E53"/>
  <c r="E54" s="1"/>
  <c r="U54" s="1"/>
  <c r="O51"/>
  <c r="C52" s="1"/>
  <c r="N51"/>
  <c r="B52" s="1"/>
  <c r="B53" s="1"/>
  <c r="D51"/>
  <c r="Q50"/>
  <c r="P50"/>
  <c r="O50"/>
  <c r="N50"/>
  <c r="Q49"/>
  <c r="P49"/>
  <c r="O49"/>
  <c r="N49"/>
  <c r="Q48"/>
  <c r="P48"/>
  <c r="O48"/>
  <c r="N48"/>
  <c r="Q47"/>
  <c r="F48"/>
  <c r="F49" s="1"/>
  <c r="P47"/>
  <c r="E48"/>
  <c r="E49"/>
  <c r="E50" s="1"/>
  <c r="U50" s="1"/>
  <c r="O47"/>
  <c r="C48"/>
  <c r="N47"/>
  <c r="B48"/>
  <c r="B49" s="1"/>
  <c r="B50" s="1"/>
  <c r="S50" s="1"/>
  <c r="D47"/>
  <c r="Q46"/>
  <c r="P46"/>
  <c r="O46"/>
  <c r="N46"/>
  <c r="Q45"/>
  <c r="P45"/>
  <c r="O45"/>
  <c r="N45"/>
  <c r="Q44"/>
  <c r="P44"/>
  <c r="O44"/>
  <c r="N44"/>
  <c r="Q43"/>
  <c r="F44"/>
  <c r="F45" s="1"/>
  <c r="F46" s="1"/>
  <c r="V46" s="1"/>
  <c r="P43"/>
  <c r="E44" s="1"/>
  <c r="E45" s="1"/>
  <c r="E46" s="1"/>
  <c r="U46" s="1"/>
  <c r="O43"/>
  <c r="C44" s="1"/>
  <c r="C45" s="1"/>
  <c r="N43"/>
  <c r="B44"/>
  <c r="B45" s="1"/>
  <c r="B46" s="1"/>
  <c r="S46" s="1"/>
  <c r="D43"/>
  <c r="T42"/>
  <c r="Q42"/>
  <c r="P42"/>
  <c r="O42"/>
  <c r="N42"/>
  <c r="D42"/>
  <c r="Q41"/>
  <c r="P41"/>
  <c r="O41"/>
  <c r="N41"/>
  <c r="Q40"/>
  <c r="P40"/>
  <c r="O40"/>
  <c r="N40"/>
  <c r="Q39"/>
  <c r="F40" s="1"/>
  <c r="F41" s="1"/>
  <c r="F42" s="1"/>
  <c r="V42" s="1"/>
  <c r="P39"/>
  <c r="E40"/>
  <c r="E41" s="1"/>
  <c r="E42" s="1"/>
  <c r="U42" s="1"/>
  <c r="O39"/>
  <c r="C40"/>
  <c r="C41" s="1"/>
  <c r="D41" s="1"/>
  <c r="N39"/>
  <c r="B40"/>
  <c r="B41"/>
  <c r="B42" s="1"/>
  <c r="S42" s="1"/>
  <c r="D39"/>
  <c r="Q38"/>
  <c r="P38"/>
  <c r="O38"/>
  <c r="N38"/>
  <c r="Q37"/>
  <c r="P37"/>
  <c r="O37"/>
  <c r="N37"/>
  <c r="Q36"/>
  <c r="P36"/>
  <c r="O36"/>
  <c r="N36"/>
  <c r="Q35"/>
  <c r="F36" s="1"/>
  <c r="F37" s="1"/>
  <c r="F38" s="1"/>
  <c r="V38" s="1"/>
  <c r="P35"/>
  <c r="E36" s="1"/>
  <c r="E37" s="1"/>
  <c r="E38" s="1"/>
  <c r="U38" s="1"/>
  <c r="O35"/>
  <c r="C36"/>
  <c r="N35"/>
  <c r="B36" s="1"/>
  <c r="B37" s="1"/>
  <c r="B38" s="1"/>
  <c r="S38" s="1"/>
  <c r="D35"/>
  <c r="Q34"/>
  <c r="P34"/>
  <c r="O34"/>
  <c r="N34"/>
  <c r="Q33"/>
  <c r="AB33" s="1"/>
  <c r="P33"/>
  <c r="AA33" s="1"/>
  <c r="O33"/>
  <c r="N33"/>
  <c r="X33" s="1"/>
  <c r="Q32"/>
  <c r="P32"/>
  <c r="O32"/>
  <c r="N32"/>
  <c r="X32" s="1"/>
  <c r="Q31"/>
  <c r="F32"/>
  <c r="P31"/>
  <c r="E32" s="1"/>
  <c r="E33" s="1"/>
  <c r="O31"/>
  <c r="C32" s="1"/>
  <c r="N31"/>
  <c r="B32" s="1"/>
  <c r="B33" s="1"/>
  <c r="B34" s="1"/>
  <c r="S34" s="1"/>
  <c r="D31"/>
  <c r="Q30"/>
  <c r="P30"/>
  <c r="O30"/>
  <c r="Y30" s="1"/>
  <c r="Z30" s="1"/>
  <c r="N30"/>
  <c r="X30" s="1"/>
  <c r="Q29"/>
  <c r="P29"/>
  <c r="O29"/>
  <c r="N29"/>
  <c r="Q28"/>
  <c r="P28"/>
  <c r="O28"/>
  <c r="N28"/>
  <c r="X28" s="1"/>
  <c r="Q27"/>
  <c r="F28"/>
  <c r="F29" s="1"/>
  <c r="F30" s="1"/>
  <c r="V30" s="1"/>
  <c r="P27"/>
  <c r="O27"/>
  <c r="C28"/>
  <c r="N27"/>
  <c r="B28"/>
  <c r="B29"/>
  <c r="B30" s="1"/>
  <c r="S30" s="1"/>
  <c r="D27"/>
  <c r="Q26"/>
  <c r="P26"/>
  <c r="O26"/>
  <c r="N26"/>
  <c r="Q25"/>
  <c r="P25"/>
  <c r="O25"/>
  <c r="N25"/>
  <c r="Q24"/>
  <c r="P24"/>
  <c r="O24"/>
  <c r="N24"/>
  <c r="X24" s="1"/>
  <c r="Q23"/>
  <c r="F24" s="1"/>
  <c r="F25" s="1"/>
  <c r="F26" s="1"/>
  <c r="V26" s="1"/>
  <c r="P23"/>
  <c r="O23"/>
  <c r="C24" s="1"/>
  <c r="N23"/>
  <c r="B24" s="1"/>
  <c r="B25" s="1"/>
  <c r="B26" s="1"/>
  <c r="S26" s="1"/>
  <c r="D23"/>
  <c r="E24"/>
  <c r="E25"/>
  <c r="E26" s="1"/>
  <c r="U26" s="1"/>
  <c r="S62"/>
  <c r="F33"/>
  <c r="F53"/>
  <c r="F54"/>
  <c r="V54" s="1"/>
  <c r="F58"/>
  <c r="V58" s="1"/>
  <c r="D44"/>
  <c r="C49"/>
  <c r="D48"/>
  <c r="D28"/>
  <c r="B60"/>
  <c r="N60" s="1"/>
  <c r="T62"/>
  <c r="O62"/>
  <c r="D62"/>
  <c r="C61"/>
  <c r="D61" s="1"/>
  <c r="P62"/>
  <c r="U62"/>
  <c r="C65"/>
  <c r="E65"/>
  <c r="E64" s="1"/>
  <c r="D66"/>
  <c r="C69"/>
  <c r="E69"/>
  <c r="E68" s="1"/>
  <c r="D70"/>
  <c r="C73"/>
  <c r="E73"/>
  <c r="E72"/>
  <c r="D74"/>
  <c r="C77"/>
  <c r="D77" s="1"/>
  <c r="C81"/>
  <c r="D81" s="1"/>
  <c r="U16" i="4"/>
  <c r="S16"/>
  <c r="Q16"/>
  <c r="O16"/>
  <c r="M16"/>
  <c r="K16"/>
  <c r="D73" i="59"/>
  <c r="C72"/>
  <c r="D72"/>
  <c r="D65"/>
  <c r="C64"/>
  <c r="D64" s="1"/>
  <c r="C60"/>
  <c r="O61"/>
  <c r="N59"/>
  <c r="C50"/>
  <c r="T50" s="1"/>
  <c r="D49"/>
  <c r="O60"/>
  <c r="D60"/>
  <c r="O59"/>
  <c r="O27" i="6"/>
  <c r="N27"/>
  <c r="P26"/>
  <c r="L26"/>
  <c r="P25"/>
  <c r="L25"/>
  <c r="P24"/>
  <c r="L24"/>
  <c r="P23"/>
  <c r="L23"/>
  <c r="P22"/>
  <c r="L22"/>
  <c r="P21"/>
  <c r="L21"/>
  <c r="P20"/>
  <c r="P19"/>
  <c r="Q18" i="36"/>
  <c r="Z18" s="1"/>
  <c r="C18"/>
  <c r="D66"/>
  <c r="F18"/>
  <c r="S18" s="1"/>
  <c r="AA18"/>
  <c r="Z18" i="35"/>
  <c r="Q18"/>
  <c r="F18"/>
  <c r="AA18" s="1"/>
  <c r="C18"/>
  <c r="D68"/>
  <c r="E68"/>
  <c r="F68"/>
  <c r="G68"/>
  <c r="Q21" i="37"/>
  <c r="Z21" s="1"/>
  <c r="F21"/>
  <c r="C21"/>
  <c r="E77"/>
  <c r="F77" s="1"/>
  <c r="G77" s="1"/>
  <c r="D77"/>
  <c r="Q21" i="34"/>
  <c r="Z21" s="1"/>
  <c r="C21"/>
  <c r="D84"/>
  <c r="F21"/>
  <c r="AA21" s="1"/>
  <c r="Z21" i="33"/>
  <c r="Q21"/>
  <c r="C21"/>
  <c r="D83"/>
  <c r="E83" s="1"/>
  <c r="F83" s="1"/>
  <c r="G83" s="1"/>
  <c r="Q21" i="21"/>
  <c r="Z21" s="1"/>
  <c r="D83"/>
  <c r="E83" s="1"/>
  <c r="F83" s="1"/>
  <c r="G83" s="1"/>
  <c r="F21"/>
  <c r="S21" s="1"/>
  <c r="AA21"/>
  <c r="C21"/>
  <c r="Q27" i="40"/>
  <c r="Z27" s="1"/>
  <c r="D96"/>
  <c r="E96" s="1"/>
  <c r="F96" s="1"/>
  <c r="F27"/>
  <c r="AA27" s="1"/>
  <c r="Q31" i="39"/>
  <c r="Z31" s="1"/>
  <c r="D105"/>
  <c r="E105"/>
  <c r="F105" s="1"/>
  <c r="F31"/>
  <c r="G20" i="20"/>
  <c r="B85" i="46"/>
  <c r="C22" i="20"/>
  <c r="B65" i="46" s="1"/>
  <c r="C27" i="40"/>
  <c r="C31" i="39"/>
  <c r="B54" i="46"/>
  <c r="B74"/>
  <c r="E66" i="36"/>
  <c r="H18" i="35"/>
  <c r="J18"/>
  <c r="H21" i="37"/>
  <c r="J21"/>
  <c r="E84" i="34"/>
  <c r="F84" s="1"/>
  <c r="G84" s="1"/>
  <c r="J21"/>
  <c r="H21"/>
  <c r="F21" i="33"/>
  <c r="H21"/>
  <c r="J21"/>
  <c r="H21" i="21"/>
  <c r="J21"/>
  <c r="H27" i="40"/>
  <c r="H31" i="39"/>
  <c r="F23" i="15"/>
  <c r="D22" s="1"/>
  <c r="G17" i="11"/>
  <c r="F15" i="15"/>
  <c r="F17"/>
  <c r="F18"/>
  <c r="F20"/>
  <c r="F21"/>
  <c r="F33"/>
  <c r="F60" s="1"/>
  <c r="K2" i="4"/>
  <c r="K1"/>
  <c r="B1"/>
  <c r="B37" i="50" s="1"/>
  <c r="B2" i="63" s="1"/>
  <c r="C31" i="57"/>
  <c r="C32"/>
  <c r="I23"/>
  <c r="D20"/>
  <c r="I19"/>
  <c r="I18"/>
  <c r="I17"/>
  <c r="I20" s="1"/>
  <c r="E15"/>
  <c r="I14"/>
  <c r="I13"/>
  <c r="I12"/>
  <c r="I15"/>
  <c r="I9"/>
  <c r="I8"/>
  <c r="I7"/>
  <c r="I6"/>
  <c r="I5"/>
  <c r="I4"/>
  <c r="I10" s="1"/>
  <c r="I3"/>
  <c r="C30"/>
  <c r="E26" s="1"/>
  <c r="C112" i="9"/>
  <c r="C7" i="11"/>
  <c r="F80" i="46"/>
  <c r="H81" s="1"/>
  <c r="D1"/>
  <c r="F113"/>
  <c r="D99"/>
  <c r="D108" s="1"/>
  <c r="E99"/>
  <c r="E108" s="1"/>
  <c r="F99"/>
  <c r="F100" s="1"/>
  <c r="G99"/>
  <c r="G108"/>
  <c r="H99"/>
  <c r="H108" s="1"/>
  <c r="I99"/>
  <c r="I108" s="1"/>
  <c r="J99"/>
  <c r="J108"/>
  <c r="K99"/>
  <c r="K108"/>
  <c r="L99"/>
  <c r="L108" s="1"/>
  <c r="M99"/>
  <c r="M108"/>
  <c r="N99"/>
  <c r="N108" s="1"/>
  <c r="C99"/>
  <c r="C108" s="1"/>
  <c r="K58"/>
  <c r="J58" s="1"/>
  <c r="D58"/>
  <c r="K50"/>
  <c r="J50" s="1"/>
  <c r="D83"/>
  <c r="D77"/>
  <c r="B83"/>
  <c r="B82"/>
  <c r="B71"/>
  <c r="B60"/>
  <c r="B49"/>
  <c r="M87"/>
  <c r="N87"/>
  <c r="K87"/>
  <c r="J87" s="1"/>
  <c r="D87"/>
  <c r="M86"/>
  <c r="N86" s="1"/>
  <c r="D86"/>
  <c r="K86"/>
  <c r="J86" s="1"/>
  <c r="M85"/>
  <c r="N85"/>
  <c r="D85"/>
  <c r="K85"/>
  <c r="J85"/>
  <c r="M84"/>
  <c r="N84"/>
  <c r="K84"/>
  <c r="J84" s="1"/>
  <c r="M83"/>
  <c r="N83"/>
  <c r="K83"/>
  <c r="J83" s="1"/>
  <c r="M82"/>
  <c r="N82"/>
  <c r="K82"/>
  <c r="J82"/>
  <c r="D82"/>
  <c r="M81"/>
  <c r="N81" s="1"/>
  <c r="K81"/>
  <c r="J81"/>
  <c r="M80"/>
  <c r="N80" s="1"/>
  <c r="K80"/>
  <c r="J80"/>
  <c r="D76"/>
  <c r="D74"/>
  <c r="D73"/>
  <c r="D72"/>
  <c r="D70"/>
  <c r="M66"/>
  <c r="N66" s="1"/>
  <c r="K66"/>
  <c r="J66" s="1"/>
  <c r="M65"/>
  <c r="N65" s="1"/>
  <c r="K65"/>
  <c r="J65" s="1"/>
  <c r="D65"/>
  <c r="M64"/>
  <c r="N64"/>
  <c r="K64"/>
  <c r="J64"/>
  <c r="D64"/>
  <c r="M63"/>
  <c r="N63" s="1"/>
  <c r="K63"/>
  <c r="J63" s="1"/>
  <c r="D63"/>
  <c r="M62"/>
  <c r="N62"/>
  <c r="K62"/>
  <c r="J62"/>
  <c r="D62"/>
  <c r="M61"/>
  <c r="N61" s="1"/>
  <c r="K61"/>
  <c r="J61" s="1"/>
  <c r="D61"/>
  <c r="M60"/>
  <c r="N60"/>
  <c r="K60"/>
  <c r="J60" s="1"/>
  <c r="D60"/>
  <c r="M59"/>
  <c r="N59" s="1"/>
  <c r="K59"/>
  <c r="J59" s="1"/>
  <c r="D59"/>
  <c r="M58"/>
  <c r="N58"/>
  <c r="M55"/>
  <c r="N55"/>
  <c r="K55"/>
  <c r="J55"/>
  <c r="M54"/>
  <c r="N54" s="1"/>
  <c r="K54"/>
  <c r="J54" s="1"/>
  <c r="M53"/>
  <c r="N53" s="1"/>
  <c r="K53"/>
  <c r="J53" s="1"/>
  <c r="D53"/>
  <c r="M52"/>
  <c r="N52"/>
  <c r="K52"/>
  <c r="J52"/>
  <c r="D52"/>
  <c r="M51"/>
  <c r="N51" s="1"/>
  <c r="K51"/>
  <c r="J51" s="1"/>
  <c r="M50"/>
  <c r="N50" s="1"/>
  <c r="M49"/>
  <c r="N49" s="1"/>
  <c r="K49"/>
  <c r="J49" s="1"/>
  <c r="D49"/>
  <c r="M48"/>
  <c r="N48"/>
  <c r="K48"/>
  <c r="J48" s="1"/>
  <c r="D48"/>
  <c r="M47"/>
  <c r="N47" s="1"/>
  <c r="K47"/>
  <c r="J47" s="1"/>
  <c r="D47"/>
  <c r="D51"/>
  <c r="D55"/>
  <c r="D80"/>
  <c r="D81"/>
  <c r="D75"/>
  <c r="D66"/>
  <c r="D50"/>
  <c r="D54"/>
  <c r="Q73" i="15"/>
  <c r="Q60"/>
  <c r="Q59"/>
  <c r="Q52"/>
  <c r="AE9" i="1"/>
  <c r="AE10"/>
  <c r="AE11"/>
  <c r="AE12"/>
  <c r="AE13"/>
  <c r="M47" i="15"/>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c r="F8"/>
  <c r="G8" s="1"/>
  <c r="H8" s="1"/>
  <c r="I8" s="1"/>
  <c r="J8" s="1"/>
  <c r="K8" s="1"/>
  <c r="L8" s="1"/>
  <c r="M8" s="1"/>
  <c r="N8" s="1"/>
  <c r="O8" s="1"/>
  <c r="P8" s="1"/>
  <c r="Q8" s="1"/>
  <c r="R8" s="1"/>
  <c r="S8" s="1"/>
  <c r="D6"/>
  <c r="E6" s="1"/>
  <c r="F6" s="1"/>
  <c r="G6" s="1"/>
  <c r="H6" s="1"/>
  <c r="I6" s="1"/>
  <c r="J6" s="1"/>
  <c r="K6" s="1"/>
  <c r="L6" s="1"/>
  <c r="M6"/>
  <c r="N6" s="1"/>
  <c r="O6" s="1"/>
  <c r="P6" s="1"/>
  <c r="Q6" s="1"/>
  <c r="R6" s="1"/>
  <c r="S6" s="1"/>
  <c r="F11" i="1"/>
  <c r="G11" s="1"/>
  <c r="F12"/>
  <c r="AP12" s="1"/>
  <c r="F13"/>
  <c r="AP13" s="1"/>
  <c r="D11"/>
  <c r="D12"/>
  <c r="D13"/>
  <c r="D6"/>
  <c r="D7"/>
  <c r="D8"/>
  <c r="D9"/>
  <c r="F10"/>
  <c r="AP10" s="1"/>
  <c r="D10"/>
  <c r="B2"/>
  <c r="C9" i="39" s="1"/>
  <c r="C70" s="1"/>
  <c r="A12" i="1"/>
  <c r="R12"/>
  <c r="A13"/>
  <c r="B13" s="1"/>
  <c r="E13"/>
  <c r="A7"/>
  <c r="A8"/>
  <c r="A9"/>
  <c r="A10"/>
  <c r="B10" s="1"/>
  <c r="E10" s="1"/>
  <c r="A11"/>
  <c r="A6"/>
  <c r="T4"/>
  <c r="K12"/>
  <c r="M12" s="1"/>
  <c r="O12" s="1"/>
  <c r="K13"/>
  <c r="M13" s="1"/>
  <c r="O13" s="1"/>
  <c r="G79" i="36"/>
  <c r="G85" i="35"/>
  <c r="G97" i="37"/>
  <c r="G110" i="34"/>
  <c r="G109" i="33"/>
  <c r="L2" i="31"/>
  <c r="K2"/>
  <c r="J2"/>
  <c r="I2"/>
  <c r="H2"/>
  <c r="G2"/>
  <c r="F2"/>
  <c r="E2"/>
  <c r="D2"/>
  <c r="C2"/>
  <c r="D60" i="15"/>
  <c r="G19" i="20"/>
  <c r="B84" i="46"/>
  <c r="BT112" i="3"/>
  <c r="BS112"/>
  <c r="BR112"/>
  <c r="BQ112"/>
  <c r="BP112"/>
  <c r="BO112"/>
  <c r="BN112"/>
  <c r="BM112"/>
  <c r="BL112"/>
  <c r="BK112"/>
  <c r="BJ112"/>
  <c r="BI112"/>
  <c r="BH112"/>
  <c r="BG112"/>
  <c r="BF112"/>
  <c r="BE112"/>
  <c r="BD112"/>
  <c r="BC112"/>
  <c r="BB112"/>
  <c r="BA112"/>
  <c r="AX112"/>
  <c r="AW112"/>
  <c r="AV112"/>
  <c r="AC112"/>
  <c r="H112"/>
  <c r="G112" s="1"/>
  <c r="BT111"/>
  <c r="BS111"/>
  <c r="BR111"/>
  <c r="BQ111"/>
  <c r="BP111"/>
  <c r="BO111"/>
  <c r="BN111"/>
  <c r="BM111"/>
  <c r="BK111"/>
  <c r="BJ111"/>
  <c r="BI111"/>
  <c r="BH111"/>
  <c r="BG111"/>
  <c r="BF111"/>
  <c r="BE111"/>
  <c r="BD111"/>
  <c r="BC111"/>
  <c r="BB111"/>
  <c r="AX111"/>
  <c r="AW111"/>
  <c r="AV111"/>
  <c r="AC111"/>
  <c r="G111" s="1"/>
  <c r="H111"/>
  <c r="BT110"/>
  <c r="BS110"/>
  <c r="BR110"/>
  <c r="BQ110"/>
  <c r="BP110"/>
  <c r="BO110"/>
  <c r="BN110"/>
  <c r="BM110"/>
  <c r="BK110"/>
  <c r="BJ110"/>
  <c r="BI110"/>
  <c r="BH110"/>
  <c r="BG110"/>
  <c r="BF110"/>
  <c r="BE110"/>
  <c r="BD110"/>
  <c r="BC110"/>
  <c r="BB110"/>
  <c r="AX110"/>
  <c r="AW110"/>
  <c r="AV110"/>
  <c r="AC110"/>
  <c r="H110"/>
  <c r="G110" s="1"/>
  <c r="BT109"/>
  <c r="BS109"/>
  <c r="BR109"/>
  <c r="BQ109"/>
  <c r="BP109"/>
  <c r="BO109"/>
  <c r="BN109"/>
  <c r="BM109"/>
  <c r="BK109"/>
  <c r="BJ109"/>
  <c r="BI109"/>
  <c r="BH109"/>
  <c r="BG109"/>
  <c r="BA109" s="1"/>
  <c r="BF109"/>
  <c r="BE109"/>
  <c r="BD109"/>
  <c r="BC109"/>
  <c r="BB109"/>
  <c r="AX109"/>
  <c r="AW109"/>
  <c r="AV109"/>
  <c r="AC109"/>
  <c r="H109"/>
  <c r="BT108"/>
  <c r="BS108"/>
  <c r="BR108"/>
  <c r="BQ108"/>
  <c r="BP108"/>
  <c r="BO108"/>
  <c r="BN108"/>
  <c r="BM108"/>
  <c r="BK108"/>
  <c r="BJ108"/>
  <c r="BI108"/>
  <c r="BH108"/>
  <c r="BG108"/>
  <c r="BF108"/>
  <c r="BE108"/>
  <c r="BD108"/>
  <c r="BC108"/>
  <c r="BB108"/>
  <c r="BA108" s="1"/>
  <c r="AX108"/>
  <c r="AW108"/>
  <c r="AV108"/>
  <c r="AC108"/>
  <c r="H108"/>
  <c r="G108"/>
  <c r="BT107"/>
  <c r="BS107"/>
  <c r="BR107"/>
  <c r="BQ107"/>
  <c r="BP107"/>
  <c r="BO107"/>
  <c r="BN107"/>
  <c r="BM107"/>
  <c r="BK107"/>
  <c r="BJ107"/>
  <c r="BI107"/>
  <c r="BH107"/>
  <c r="BG107"/>
  <c r="BF107"/>
  <c r="BE107"/>
  <c r="BD107"/>
  <c r="BC107"/>
  <c r="BB107"/>
  <c r="BA107" s="1"/>
  <c r="AX107"/>
  <c r="AW107"/>
  <c r="AV107"/>
  <c r="AC107"/>
  <c r="H107"/>
  <c r="G107"/>
  <c r="BT106"/>
  <c r="BS106"/>
  <c r="BR106"/>
  <c r="BQ106"/>
  <c r="BP106"/>
  <c r="BO106"/>
  <c r="BN106"/>
  <c r="BM106"/>
  <c r="BK106"/>
  <c r="BJ106"/>
  <c r="BI106"/>
  <c r="BH106"/>
  <c r="BG106"/>
  <c r="BF106"/>
  <c r="BE106"/>
  <c r="BD106"/>
  <c r="BC106"/>
  <c r="BB106"/>
  <c r="AX106"/>
  <c r="AW106"/>
  <c r="AV106"/>
  <c r="AC106"/>
  <c r="G106" s="1"/>
  <c r="H106"/>
  <c r="BT105"/>
  <c r="BS105"/>
  <c r="BR105"/>
  <c r="BQ105"/>
  <c r="BP105"/>
  <c r="BO105"/>
  <c r="BN105"/>
  <c r="BM105"/>
  <c r="BK105"/>
  <c r="BJ105"/>
  <c r="BI105"/>
  <c r="BH105"/>
  <c r="BG105"/>
  <c r="BF105"/>
  <c r="BE105"/>
  <c r="BD105"/>
  <c r="BC105"/>
  <c r="BB105"/>
  <c r="AX105"/>
  <c r="AW105"/>
  <c r="AV105"/>
  <c r="AC105"/>
  <c r="H105"/>
  <c r="G105"/>
  <c r="BT104"/>
  <c r="BL104" s="1"/>
  <c r="BS104"/>
  <c r="BR104"/>
  <c r="BQ104"/>
  <c r="BP104"/>
  <c r="BO104"/>
  <c r="BN104"/>
  <c r="BM104"/>
  <c r="BK104"/>
  <c r="BJ104"/>
  <c r="BI104"/>
  <c r="BH104"/>
  <c r="BG104"/>
  <c r="BF104"/>
  <c r="BE104"/>
  <c r="BD104"/>
  <c r="BC104"/>
  <c r="BB104"/>
  <c r="AX104"/>
  <c r="AW104"/>
  <c r="AV104"/>
  <c r="AC104"/>
  <c r="G104" s="1"/>
  <c r="H104"/>
  <c r="BT103"/>
  <c r="BS103"/>
  <c r="BR103"/>
  <c r="BQ103"/>
  <c r="BL103" s="1"/>
  <c r="BP103"/>
  <c r="BO103"/>
  <c r="BN103"/>
  <c r="BM103"/>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AX102"/>
  <c r="AW102"/>
  <c r="AV102"/>
  <c r="AC102"/>
  <c r="H102"/>
  <c r="G102" s="1"/>
  <c r="BT101"/>
  <c r="BS101"/>
  <c r="BR101"/>
  <c r="BQ101"/>
  <c r="BP101"/>
  <c r="BO101"/>
  <c r="BN101"/>
  <c r="BM101"/>
  <c r="BK101"/>
  <c r="BJ101"/>
  <c r="BI101"/>
  <c r="BH101"/>
  <c r="BG101"/>
  <c r="BF101"/>
  <c r="BE101"/>
  <c r="BD101"/>
  <c r="BC101"/>
  <c r="BB101"/>
  <c r="AX101"/>
  <c r="AW101"/>
  <c r="AV101"/>
  <c r="AC101"/>
  <c r="H101"/>
  <c r="G101" s="1"/>
  <c r="BT100"/>
  <c r="BS100"/>
  <c r="BR100"/>
  <c r="BQ100"/>
  <c r="BP100"/>
  <c r="BO100"/>
  <c r="BN100"/>
  <c r="BM100"/>
  <c r="BK100"/>
  <c r="BJ100"/>
  <c r="BI100"/>
  <c r="BH100"/>
  <c r="BG100"/>
  <c r="BA100" s="1"/>
  <c r="BF100"/>
  <c r="BE100"/>
  <c r="BD100"/>
  <c r="BC100"/>
  <c r="BB100"/>
  <c r="AX100"/>
  <c r="AW100"/>
  <c r="AV100"/>
  <c r="AC100"/>
  <c r="H100"/>
  <c r="G100" s="1"/>
  <c r="BT99"/>
  <c r="BS99"/>
  <c r="BR99"/>
  <c r="BQ99"/>
  <c r="BP99"/>
  <c r="BO99"/>
  <c r="BN99"/>
  <c r="BM99"/>
  <c r="BK99"/>
  <c r="BJ99"/>
  <c r="BI99"/>
  <c r="BH99"/>
  <c r="BG99"/>
  <c r="BF99"/>
  <c r="BE99"/>
  <c r="BD99"/>
  <c r="BC99"/>
  <c r="BB99"/>
  <c r="AX99"/>
  <c r="AW99"/>
  <c r="AV99"/>
  <c r="AC99"/>
  <c r="H99"/>
  <c r="G99"/>
  <c r="BT98"/>
  <c r="BS98"/>
  <c r="BR98"/>
  <c r="BQ98"/>
  <c r="BP98"/>
  <c r="BL98" s="1"/>
  <c r="BO98"/>
  <c r="BN98"/>
  <c r="BM98"/>
  <c r="BK98"/>
  <c r="BJ98"/>
  <c r="BI98"/>
  <c r="BH98"/>
  <c r="BG98"/>
  <c r="BF98"/>
  <c r="BE98"/>
  <c r="BD98"/>
  <c r="BA98" s="1"/>
  <c r="BC98"/>
  <c r="BB98"/>
  <c r="AX98"/>
  <c r="AW98"/>
  <c r="AV98"/>
  <c r="AC98"/>
  <c r="H98"/>
  <c r="G98" s="1"/>
  <c r="BT97"/>
  <c r="BS97"/>
  <c r="BR97"/>
  <c r="BQ97"/>
  <c r="BP97"/>
  <c r="BO97"/>
  <c r="BN97"/>
  <c r="BM97"/>
  <c r="BK97"/>
  <c r="BJ97"/>
  <c r="BI97"/>
  <c r="BH97"/>
  <c r="BG97"/>
  <c r="BF97"/>
  <c r="BE97"/>
  <c r="BD97"/>
  <c r="BC97"/>
  <c r="BB97"/>
  <c r="AX97"/>
  <c r="AW97"/>
  <c r="AV97"/>
  <c r="AC97"/>
  <c r="H97"/>
  <c r="G97"/>
  <c r="BT96"/>
  <c r="BS96"/>
  <c r="BR96"/>
  <c r="BQ96"/>
  <c r="BP96"/>
  <c r="BO96"/>
  <c r="BN96"/>
  <c r="BM96"/>
  <c r="BK96"/>
  <c r="BJ96"/>
  <c r="BI96"/>
  <c r="BH96"/>
  <c r="BG96"/>
  <c r="BF96"/>
  <c r="BE96"/>
  <c r="BA96" s="1"/>
  <c r="BD96"/>
  <c r="BC96"/>
  <c r="BB96"/>
  <c r="AX96"/>
  <c r="AW96"/>
  <c r="AV96"/>
  <c r="AC96"/>
  <c r="H96"/>
  <c r="G96"/>
  <c r="BT95"/>
  <c r="BS95"/>
  <c r="BR95"/>
  <c r="BQ95"/>
  <c r="BP95"/>
  <c r="BO95"/>
  <c r="BN95"/>
  <c r="BL95" s="1"/>
  <c r="BM95"/>
  <c r="BK95"/>
  <c r="BJ95"/>
  <c r="BI95"/>
  <c r="BH95"/>
  <c r="BG95"/>
  <c r="BF95"/>
  <c r="BE95"/>
  <c r="BD95"/>
  <c r="BC95"/>
  <c r="BB95"/>
  <c r="AX95"/>
  <c r="AW95"/>
  <c r="AV95"/>
  <c r="AC95"/>
  <c r="G95" s="1"/>
  <c r="H95"/>
  <c r="BT94"/>
  <c r="BS94"/>
  <c r="BR94"/>
  <c r="BQ94"/>
  <c r="BP94"/>
  <c r="BO94"/>
  <c r="BL94" s="1"/>
  <c r="BN94"/>
  <c r="BM94"/>
  <c r="BK94"/>
  <c r="BJ94"/>
  <c r="BI94"/>
  <c r="BH94"/>
  <c r="BG94"/>
  <c r="BF94"/>
  <c r="BE94"/>
  <c r="BD94"/>
  <c r="BC94"/>
  <c r="BB94"/>
  <c r="AX94"/>
  <c r="AW94"/>
  <c r="AV94"/>
  <c r="AC94"/>
  <c r="H94"/>
  <c r="G94"/>
  <c r="BT93"/>
  <c r="BS93"/>
  <c r="BR93"/>
  <c r="BQ93"/>
  <c r="BP93"/>
  <c r="BO93"/>
  <c r="BN93"/>
  <c r="BM93"/>
  <c r="BK93"/>
  <c r="BJ93"/>
  <c r="BI93"/>
  <c r="BH93"/>
  <c r="BG93"/>
  <c r="BF93"/>
  <c r="BE93"/>
  <c r="BD93"/>
  <c r="BC93"/>
  <c r="BB93"/>
  <c r="BA93" s="1"/>
  <c r="AX93"/>
  <c r="AW93"/>
  <c r="AV93"/>
  <c r="AC93"/>
  <c r="H93"/>
  <c r="G93" s="1"/>
  <c r="BT92"/>
  <c r="BS92"/>
  <c r="BR92"/>
  <c r="BQ92"/>
  <c r="BP92"/>
  <c r="BO92"/>
  <c r="BN92"/>
  <c r="BM92"/>
  <c r="BK92"/>
  <c r="BJ92"/>
  <c r="BI92"/>
  <c r="BH92"/>
  <c r="BG92"/>
  <c r="BF92"/>
  <c r="BE92"/>
  <c r="BD92"/>
  <c r="BC92"/>
  <c r="BB92"/>
  <c r="AX92"/>
  <c r="AW92"/>
  <c r="AV92"/>
  <c r="AC92"/>
  <c r="H92"/>
  <c r="G92" s="1"/>
  <c r="BT91"/>
  <c r="BS91"/>
  <c r="BR91"/>
  <c r="BQ91"/>
  <c r="BP91"/>
  <c r="BO91"/>
  <c r="BN91"/>
  <c r="BM91"/>
  <c r="BK91"/>
  <c r="BJ91"/>
  <c r="BI91"/>
  <c r="BH91"/>
  <c r="BA91" s="1"/>
  <c r="BG91"/>
  <c r="BF91"/>
  <c r="BE91"/>
  <c r="BD91"/>
  <c r="BC91"/>
  <c r="BB91"/>
  <c r="AX91"/>
  <c r="AW91"/>
  <c r="AV91"/>
  <c r="AC91"/>
  <c r="H91"/>
  <c r="G91" s="1"/>
  <c r="BT90"/>
  <c r="BS90"/>
  <c r="BR90"/>
  <c r="BQ90"/>
  <c r="BP90"/>
  <c r="BO90"/>
  <c r="BN90"/>
  <c r="BM90"/>
  <c r="BK90"/>
  <c r="BJ90"/>
  <c r="BI90"/>
  <c r="BH90"/>
  <c r="BG90"/>
  <c r="BF90"/>
  <c r="BE90"/>
  <c r="BD90"/>
  <c r="BC90"/>
  <c r="BB90"/>
  <c r="AX90"/>
  <c r="AW90"/>
  <c r="AV90"/>
  <c r="AC90"/>
  <c r="G90" s="1"/>
  <c r="H90"/>
  <c r="BT89"/>
  <c r="BS89"/>
  <c r="BR89"/>
  <c r="BQ89"/>
  <c r="BP89"/>
  <c r="BO89"/>
  <c r="BN89"/>
  <c r="BM89"/>
  <c r="BL89"/>
  <c r="BK89"/>
  <c r="BJ89"/>
  <c r="BI89"/>
  <c r="BH89"/>
  <c r="BG89"/>
  <c r="BF89"/>
  <c r="BE89"/>
  <c r="BD89"/>
  <c r="BC89"/>
  <c r="BB89"/>
  <c r="AX89"/>
  <c r="AW89"/>
  <c r="AV89"/>
  <c r="AC89"/>
  <c r="H89"/>
  <c r="G89" s="1"/>
  <c r="BT88"/>
  <c r="BS88"/>
  <c r="BR88"/>
  <c r="BQ88"/>
  <c r="BP88"/>
  <c r="BO88"/>
  <c r="BN88"/>
  <c r="BM88"/>
  <c r="BK88"/>
  <c r="BJ88"/>
  <c r="BI88"/>
  <c r="BH88"/>
  <c r="BG88"/>
  <c r="BF88"/>
  <c r="BE88"/>
  <c r="BD88"/>
  <c r="BC88"/>
  <c r="BB88"/>
  <c r="AX88"/>
  <c r="AW88"/>
  <c r="AV88"/>
  <c r="AC88"/>
  <c r="G88" s="1"/>
  <c r="H88"/>
  <c r="BT87"/>
  <c r="BS87"/>
  <c r="BR87"/>
  <c r="BQ87"/>
  <c r="BP87"/>
  <c r="BO87"/>
  <c r="BN87"/>
  <c r="BM87"/>
  <c r="BL87" s="1"/>
  <c r="BK87"/>
  <c r="BJ87"/>
  <c r="BI87"/>
  <c r="BH87"/>
  <c r="BG87"/>
  <c r="BF87"/>
  <c r="BE87"/>
  <c r="BD87"/>
  <c r="BC87"/>
  <c r="BB87"/>
  <c r="AX87"/>
  <c r="AW87"/>
  <c r="AV87"/>
  <c r="AC87"/>
  <c r="H87"/>
  <c r="G87"/>
  <c r="BT86"/>
  <c r="BS86"/>
  <c r="BR86"/>
  <c r="BQ86"/>
  <c r="BP86"/>
  <c r="BO86"/>
  <c r="BN86"/>
  <c r="BM86"/>
  <c r="BL86"/>
  <c r="BK86"/>
  <c r="BJ86"/>
  <c r="BI86"/>
  <c r="BH86"/>
  <c r="BG86"/>
  <c r="BF86"/>
  <c r="BE86"/>
  <c r="BD86"/>
  <c r="BC86"/>
  <c r="BB86"/>
  <c r="AX86"/>
  <c r="AW86"/>
  <c r="AV86"/>
  <c r="AC86"/>
  <c r="H86"/>
  <c r="G86" s="1"/>
  <c r="BT85"/>
  <c r="BS85"/>
  <c r="BR85"/>
  <c r="BQ85"/>
  <c r="BP85"/>
  <c r="BO85"/>
  <c r="BN85"/>
  <c r="BM85"/>
  <c r="BL85" s="1"/>
  <c r="BK85"/>
  <c r="BJ85"/>
  <c r="BI85"/>
  <c r="BH85"/>
  <c r="BG85"/>
  <c r="BF85"/>
  <c r="BE85"/>
  <c r="BD85"/>
  <c r="BC85"/>
  <c r="BB85"/>
  <c r="AX85"/>
  <c r="AW85"/>
  <c r="AV85"/>
  <c r="AC85"/>
  <c r="H85"/>
  <c r="G85"/>
  <c r="BT84"/>
  <c r="BS84"/>
  <c r="BR84"/>
  <c r="BQ84"/>
  <c r="BP84"/>
  <c r="BO84"/>
  <c r="BN84"/>
  <c r="BM84"/>
  <c r="BL84" s="1"/>
  <c r="BK84"/>
  <c r="BJ84"/>
  <c r="BI84"/>
  <c r="BH84"/>
  <c r="BG84"/>
  <c r="BF84"/>
  <c r="BE84"/>
  <c r="BD84"/>
  <c r="BC84"/>
  <c r="BB84"/>
  <c r="BA84" s="1"/>
  <c r="AX84"/>
  <c r="AW84"/>
  <c r="AV84"/>
  <c r="AC84"/>
  <c r="H84"/>
  <c r="G84"/>
  <c r="BT83"/>
  <c r="BS83"/>
  <c r="BR83"/>
  <c r="BQ83"/>
  <c r="BP83"/>
  <c r="BO83"/>
  <c r="BN83"/>
  <c r="BM83"/>
  <c r="BK83"/>
  <c r="BJ83"/>
  <c r="BI83"/>
  <c r="BH83"/>
  <c r="BG83"/>
  <c r="BF83"/>
  <c r="BE83"/>
  <c r="BD83"/>
  <c r="BC83"/>
  <c r="BB83"/>
  <c r="AX83"/>
  <c r="AW83"/>
  <c r="AV83"/>
  <c r="AC83"/>
  <c r="H83"/>
  <c r="G83" s="1"/>
  <c r="BT82"/>
  <c r="BS82"/>
  <c r="BR82"/>
  <c r="BQ82"/>
  <c r="BP82"/>
  <c r="BO82"/>
  <c r="BN82"/>
  <c r="BM82"/>
  <c r="BL82"/>
  <c r="BK82"/>
  <c r="BJ82"/>
  <c r="BI82"/>
  <c r="BH82"/>
  <c r="BG82"/>
  <c r="BF82"/>
  <c r="BE82"/>
  <c r="BD82"/>
  <c r="BC82"/>
  <c r="BB82"/>
  <c r="BA82" s="1"/>
  <c r="AX82"/>
  <c r="AW82"/>
  <c r="AV82"/>
  <c r="AC82"/>
  <c r="H82"/>
  <c r="G82"/>
  <c r="BT81"/>
  <c r="BS81"/>
  <c r="BR81"/>
  <c r="BQ81"/>
  <c r="BP81"/>
  <c r="BO81"/>
  <c r="BN81"/>
  <c r="BM81"/>
  <c r="BL81"/>
  <c r="BK81"/>
  <c r="BJ81"/>
  <c r="BI81"/>
  <c r="BH81"/>
  <c r="BG81"/>
  <c r="BF81"/>
  <c r="BE81"/>
  <c r="BD81"/>
  <c r="BC81"/>
  <c r="BB81"/>
  <c r="AX81"/>
  <c r="AW81"/>
  <c r="AV81"/>
  <c r="AC81"/>
  <c r="H81"/>
  <c r="BT80"/>
  <c r="BS80"/>
  <c r="BR80"/>
  <c r="BQ80"/>
  <c r="BP80"/>
  <c r="BO80"/>
  <c r="BN80"/>
  <c r="BL80" s="1"/>
  <c r="BM80"/>
  <c r="BK80"/>
  <c r="BJ80"/>
  <c r="BI80"/>
  <c r="BH80"/>
  <c r="BG80"/>
  <c r="BF80"/>
  <c r="BE80"/>
  <c r="BD80"/>
  <c r="BC80"/>
  <c r="BB80"/>
  <c r="BA80" s="1"/>
  <c r="AZ80"/>
  <c r="AX80"/>
  <c r="AW80"/>
  <c r="AV80"/>
  <c r="AC80"/>
  <c r="H80"/>
  <c r="G80" s="1"/>
  <c r="BT79"/>
  <c r="BS79"/>
  <c r="BR79"/>
  <c r="BQ79"/>
  <c r="BP79"/>
  <c r="BO79"/>
  <c r="BN79"/>
  <c r="BM79"/>
  <c r="BK79"/>
  <c r="BJ79"/>
  <c r="BI79"/>
  <c r="BH79"/>
  <c r="BG79"/>
  <c r="BF79"/>
  <c r="BE79"/>
  <c r="BD79"/>
  <c r="BC79"/>
  <c r="BB79"/>
  <c r="BA79" s="1"/>
  <c r="AX79"/>
  <c r="AW79"/>
  <c r="AV79"/>
  <c r="AC79"/>
  <c r="H79"/>
  <c r="G79" s="1"/>
  <c r="BT78"/>
  <c r="BS78"/>
  <c r="BR78"/>
  <c r="BQ78"/>
  <c r="BP78"/>
  <c r="BO78"/>
  <c r="BN78"/>
  <c r="BM78"/>
  <c r="BK78"/>
  <c r="BJ78"/>
  <c r="BI78"/>
  <c r="BH78"/>
  <c r="BG78"/>
  <c r="BF78"/>
  <c r="BE78"/>
  <c r="BD78"/>
  <c r="BC78"/>
  <c r="BB78"/>
  <c r="AX78"/>
  <c r="AW78"/>
  <c r="AV78"/>
  <c r="AC78"/>
  <c r="H78"/>
  <c r="G78" s="1"/>
  <c r="BT77"/>
  <c r="BS77"/>
  <c r="BR77"/>
  <c r="BL77" s="1"/>
  <c r="AZ77" s="1"/>
  <c r="BQ77"/>
  <c r="BP77"/>
  <c r="BO77"/>
  <c r="BN77"/>
  <c r="BM77"/>
  <c r="BK77"/>
  <c r="BJ77"/>
  <c r="BI77"/>
  <c r="BH77"/>
  <c r="BG77"/>
  <c r="BF77"/>
  <c r="BE77"/>
  <c r="BD77"/>
  <c r="BC77"/>
  <c r="BB77"/>
  <c r="BA77" s="1"/>
  <c r="AX77"/>
  <c r="AW77"/>
  <c r="AV77"/>
  <c r="AC77"/>
  <c r="H77"/>
  <c r="G77"/>
  <c r="BT76"/>
  <c r="BS76"/>
  <c r="BR76"/>
  <c r="BQ76"/>
  <c r="BP76"/>
  <c r="BO76"/>
  <c r="BN76"/>
  <c r="BM76"/>
  <c r="BK76"/>
  <c r="BJ76"/>
  <c r="BI76"/>
  <c r="BH76"/>
  <c r="BG76"/>
  <c r="BF76"/>
  <c r="BE76"/>
  <c r="BD76"/>
  <c r="BC76"/>
  <c r="BA76" s="1"/>
  <c r="BB76"/>
  <c r="AX76"/>
  <c r="AW76"/>
  <c r="AV76"/>
  <c r="AC76"/>
  <c r="H76"/>
  <c r="G76"/>
  <c r="BT75"/>
  <c r="BS75"/>
  <c r="BR75"/>
  <c r="BQ75"/>
  <c r="BP75"/>
  <c r="BO75"/>
  <c r="BN75"/>
  <c r="BM75"/>
  <c r="BK75"/>
  <c r="BJ75"/>
  <c r="BI75"/>
  <c r="BH75"/>
  <c r="BG75"/>
  <c r="BF75"/>
  <c r="BE75"/>
  <c r="BD75"/>
  <c r="BC75"/>
  <c r="BB75"/>
  <c r="AX75"/>
  <c r="AW75"/>
  <c r="AV75"/>
  <c r="AC75"/>
  <c r="H75"/>
  <c r="G75"/>
  <c r="BT74"/>
  <c r="BS74"/>
  <c r="BR74"/>
  <c r="BQ74"/>
  <c r="BP74"/>
  <c r="BO74"/>
  <c r="BN74"/>
  <c r="BM74"/>
  <c r="BK74"/>
  <c r="BJ74"/>
  <c r="BI74"/>
  <c r="BH74"/>
  <c r="BG74"/>
  <c r="BF74"/>
  <c r="BE74"/>
  <c r="BD74"/>
  <c r="BC74"/>
  <c r="BB74"/>
  <c r="AX74"/>
  <c r="AW74"/>
  <c r="AV74"/>
  <c r="AC74"/>
  <c r="H74"/>
  <c r="G74"/>
  <c r="BT73"/>
  <c r="BS73"/>
  <c r="BR73"/>
  <c r="BQ73"/>
  <c r="BP73"/>
  <c r="BO73"/>
  <c r="BN73"/>
  <c r="BM73"/>
  <c r="BK73"/>
  <c r="BJ73"/>
  <c r="BI73"/>
  <c r="BH73"/>
  <c r="BG73"/>
  <c r="BF73"/>
  <c r="BE73"/>
  <c r="BD73"/>
  <c r="BC73"/>
  <c r="BB73"/>
  <c r="AX73"/>
  <c r="AW73"/>
  <c r="AV73"/>
  <c r="AC73"/>
  <c r="H73"/>
  <c r="G73"/>
  <c r="BT72"/>
  <c r="BS72"/>
  <c r="BR72"/>
  <c r="BQ72"/>
  <c r="BP72"/>
  <c r="BO72"/>
  <c r="BN72"/>
  <c r="BL72" s="1"/>
  <c r="BM72"/>
  <c r="BK72"/>
  <c r="BJ72"/>
  <c r="BI72"/>
  <c r="BH72"/>
  <c r="BG72"/>
  <c r="BF72"/>
  <c r="BE72"/>
  <c r="BD72"/>
  <c r="BC72"/>
  <c r="BB72"/>
  <c r="AX72"/>
  <c r="AW72"/>
  <c r="AV72"/>
  <c r="AC72"/>
  <c r="H72"/>
  <c r="BT71"/>
  <c r="BS71"/>
  <c r="BR71"/>
  <c r="BQ71"/>
  <c r="BP71"/>
  <c r="BO71"/>
  <c r="BN71"/>
  <c r="BM71"/>
  <c r="BL71"/>
  <c r="BK71"/>
  <c r="BJ71"/>
  <c r="BI71"/>
  <c r="BH71"/>
  <c r="BG71"/>
  <c r="BF71"/>
  <c r="BE71"/>
  <c r="BD71"/>
  <c r="BC71"/>
  <c r="BB71"/>
  <c r="AX71"/>
  <c r="AW71"/>
  <c r="AV71"/>
  <c r="AC71"/>
  <c r="H71"/>
  <c r="G71"/>
  <c r="BT70"/>
  <c r="BS70"/>
  <c r="BR70"/>
  <c r="BQ70"/>
  <c r="BP70"/>
  <c r="BO70"/>
  <c r="BN70"/>
  <c r="BM70"/>
  <c r="BL70" s="1"/>
  <c r="BK70"/>
  <c r="BJ70"/>
  <c r="BI70"/>
  <c r="BH70"/>
  <c r="BG70"/>
  <c r="BF70"/>
  <c r="BE70"/>
  <c r="BD70"/>
  <c r="BC70"/>
  <c r="BB70"/>
  <c r="BA70" s="1"/>
  <c r="AX70"/>
  <c r="AW70"/>
  <c r="AV70"/>
  <c r="AC70"/>
  <c r="H70"/>
  <c r="G70"/>
  <c r="BT69"/>
  <c r="BS69"/>
  <c r="BR69"/>
  <c r="BQ69"/>
  <c r="BP69"/>
  <c r="BO69"/>
  <c r="BN69"/>
  <c r="BM69"/>
  <c r="BK69"/>
  <c r="BJ69"/>
  <c r="BI69"/>
  <c r="BH69"/>
  <c r="BG69"/>
  <c r="BF69"/>
  <c r="BE69"/>
  <c r="BD69"/>
  <c r="BC69"/>
  <c r="BB69"/>
  <c r="AX69"/>
  <c r="AW69"/>
  <c r="AV69"/>
  <c r="AC69"/>
  <c r="H69"/>
  <c r="G69" s="1"/>
  <c r="BT68"/>
  <c r="BS68"/>
  <c r="BR68"/>
  <c r="BQ68"/>
  <c r="BP68"/>
  <c r="BO68"/>
  <c r="BN68"/>
  <c r="BM68"/>
  <c r="BL68"/>
  <c r="BK68"/>
  <c r="BJ68"/>
  <c r="BI68"/>
  <c r="BH68"/>
  <c r="BG68"/>
  <c r="BF68"/>
  <c r="BE68"/>
  <c r="BD68"/>
  <c r="BC68"/>
  <c r="BB68"/>
  <c r="AX68"/>
  <c r="AW68"/>
  <c r="AV68"/>
  <c r="AC68"/>
  <c r="H68"/>
  <c r="G68" s="1"/>
  <c r="BT67"/>
  <c r="BS67"/>
  <c r="BR67"/>
  <c r="BQ67"/>
  <c r="BP67"/>
  <c r="BO67"/>
  <c r="BL67" s="1"/>
  <c r="BN67"/>
  <c r="BM67"/>
  <c r="BK67"/>
  <c r="BJ67"/>
  <c r="BI67"/>
  <c r="BH67"/>
  <c r="BG67"/>
  <c r="BF67"/>
  <c r="BE67"/>
  <c r="BD67"/>
  <c r="BC67"/>
  <c r="BA67" s="1"/>
  <c r="AZ67" s="1"/>
  <c r="BB67"/>
  <c r="AX67"/>
  <c r="AW67"/>
  <c r="AV67"/>
  <c r="AC67"/>
  <c r="H67"/>
  <c r="G67"/>
  <c r="BT66"/>
  <c r="BS66"/>
  <c r="BR66"/>
  <c r="BQ66"/>
  <c r="BP66"/>
  <c r="BO66"/>
  <c r="BN66"/>
  <c r="BM66"/>
  <c r="BL66" s="1"/>
  <c r="BK66"/>
  <c r="BJ66"/>
  <c r="BI66"/>
  <c r="BH66"/>
  <c r="BG66"/>
  <c r="BF66"/>
  <c r="BE66"/>
  <c r="BD66"/>
  <c r="BC66"/>
  <c r="BA66" s="1"/>
  <c r="BB66"/>
  <c r="AX66"/>
  <c r="AW66"/>
  <c r="AV66"/>
  <c r="AC66"/>
  <c r="H66"/>
  <c r="G66" s="1"/>
  <c r="BT65"/>
  <c r="BS65"/>
  <c r="BR65"/>
  <c r="BQ65"/>
  <c r="BP65"/>
  <c r="BO65"/>
  <c r="BN65"/>
  <c r="BM65"/>
  <c r="BK65"/>
  <c r="BJ65"/>
  <c r="BI65"/>
  <c r="BH65"/>
  <c r="BG65"/>
  <c r="BF65"/>
  <c r="BE65"/>
  <c r="BD65"/>
  <c r="BC65"/>
  <c r="BB65"/>
  <c r="AX65"/>
  <c r="AW65"/>
  <c r="AV65"/>
  <c r="AC65"/>
  <c r="G65" s="1"/>
  <c r="H65"/>
  <c r="BT64"/>
  <c r="BS64"/>
  <c r="BR64"/>
  <c r="BQ64"/>
  <c r="BP64"/>
  <c r="BO64"/>
  <c r="BN64"/>
  <c r="BM64"/>
  <c r="BK64"/>
  <c r="BJ64"/>
  <c r="BI64"/>
  <c r="BH64"/>
  <c r="BG64"/>
  <c r="BF64"/>
  <c r="BE64"/>
  <c r="BA64" s="1"/>
  <c r="BD64"/>
  <c r="BC64"/>
  <c r="BB64"/>
  <c r="AX64"/>
  <c r="AW64"/>
  <c r="AV64"/>
  <c r="AC64"/>
  <c r="H64"/>
  <c r="G64"/>
  <c r="BT63"/>
  <c r="BS63"/>
  <c r="BR63"/>
  <c r="BQ63"/>
  <c r="BP63"/>
  <c r="BL63" s="1"/>
  <c r="BO63"/>
  <c r="BN63"/>
  <c r="BM63"/>
  <c r="BK63"/>
  <c r="BJ63"/>
  <c r="BI63"/>
  <c r="BH63"/>
  <c r="BG63"/>
  <c r="BF63"/>
  <c r="BE63"/>
  <c r="BD63"/>
  <c r="BC63"/>
  <c r="BB63"/>
  <c r="AX63"/>
  <c r="AW63"/>
  <c r="AV63"/>
  <c r="AC63"/>
  <c r="H63"/>
  <c r="G63" s="1"/>
  <c r="BT62"/>
  <c r="BS62"/>
  <c r="BR62"/>
  <c r="BQ62"/>
  <c r="BP62"/>
  <c r="BO62"/>
  <c r="BN62"/>
  <c r="BM62"/>
  <c r="BK62"/>
  <c r="BJ62"/>
  <c r="BI62"/>
  <c r="BH62"/>
  <c r="BG62"/>
  <c r="BF62"/>
  <c r="BE62"/>
  <c r="BD62"/>
  <c r="BC62"/>
  <c r="BB62"/>
  <c r="AX62"/>
  <c r="AW62"/>
  <c r="AV62"/>
  <c r="AC62"/>
  <c r="H62"/>
  <c r="G62"/>
  <c r="BT61"/>
  <c r="BS61"/>
  <c r="BR61"/>
  <c r="BQ61"/>
  <c r="BP61"/>
  <c r="BO61"/>
  <c r="BN61"/>
  <c r="BM61"/>
  <c r="BK61"/>
  <c r="BJ61"/>
  <c r="BI61"/>
  <c r="BH61"/>
  <c r="BG61"/>
  <c r="BF61"/>
  <c r="BE61"/>
  <c r="BD61"/>
  <c r="BA61" s="1"/>
  <c r="BC61"/>
  <c r="BB61"/>
  <c r="AX61"/>
  <c r="AW61"/>
  <c r="AV61"/>
  <c r="AC61"/>
  <c r="H61"/>
  <c r="G61"/>
  <c r="BT60"/>
  <c r="BS60"/>
  <c r="BL60" s="1"/>
  <c r="BR60"/>
  <c r="BQ60"/>
  <c r="BP60"/>
  <c r="BO60"/>
  <c r="BN60"/>
  <c r="BM60"/>
  <c r="BK60"/>
  <c r="BJ60"/>
  <c r="BI60"/>
  <c r="BH60"/>
  <c r="BG60"/>
  <c r="BF60"/>
  <c r="BE60"/>
  <c r="BD60"/>
  <c r="BC60"/>
  <c r="BB60"/>
  <c r="AX60"/>
  <c r="AW60"/>
  <c r="AV60"/>
  <c r="AC60"/>
  <c r="H60"/>
  <c r="BT59"/>
  <c r="BL59" s="1"/>
  <c r="BS59"/>
  <c r="BR59"/>
  <c r="BQ59"/>
  <c r="BP59"/>
  <c r="BO59"/>
  <c r="BN59"/>
  <c r="BM59"/>
  <c r="BK59"/>
  <c r="BJ59"/>
  <c r="BI59"/>
  <c r="BH59"/>
  <c r="BG59"/>
  <c r="BF59"/>
  <c r="BE59"/>
  <c r="BD59"/>
  <c r="BC59"/>
  <c r="BA59" s="1"/>
  <c r="BB59"/>
  <c r="AX59"/>
  <c r="AW59"/>
  <c r="AV59"/>
  <c r="AC59"/>
  <c r="H59"/>
  <c r="G59" s="1"/>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K57"/>
  <c r="BJ57"/>
  <c r="BI57"/>
  <c r="BH57"/>
  <c r="BG57"/>
  <c r="BF57"/>
  <c r="BE57"/>
  <c r="BD57"/>
  <c r="BC57"/>
  <c r="BA57" s="1"/>
  <c r="BB57"/>
  <c r="AX57"/>
  <c r="AW57"/>
  <c r="AV57"/>
  <c r="AC57"/>
  <c r="G57" s="1"/>
  <c r="H57"/>
  <c r="BT56"/>
  <c r="BS56"/>
  <c r="BR56"/>
  <c r="BQ56"/>
  <c r="BP56"/>
  <c r="BO56"/>
  <c r="BN56"/>
  <c r="BM56"/>
  <c r="BK56"/>
  <c r="BJ56"/>
  <c r="BI56"/>
  <c r="BH56"/>
  <c r="BG56"/>
  <c r="BF56"/>
  <c r="BE56"/>
  <c r="BD56"/>
  <c r="BC56"/>
  <c r="BB56"/>
  <c r="AX56"/>
  <c r="AW56"/>
  <c r="AV56"/>
  <c r="AC56"/>
  <c r="H56"/>
  <c r="G56" s="1"/>
  <c r="BT55"/>
  <c r="BS55"/>
  <c r="BR55"/>
  <c r="BQ55"/>
  <c r="BP55"/>
  <c r="BO55"/>
  <c r="BN55"/>
  <c r="BM55"/>
  <c r="BK55"/>
  <c r="BJ55"/>
  <c r="BI55"/>
  <c r="BH55"/>
  <c r="BG55"/>
  <c r="BF55"/>
  <c r="BE55"/>
  <c r="BA55" s="1"/>
  <c r="BD55"/>
  <c r="BC55"/>
  <c r="BB55"/>
  <c r="AX55"/>
  <c r="AW55"/>
  <c r="AV55"/>
  <c r="AC55"/>
  <c r="H55"/>
  <c r="BT54"/>
  <c r="BS54"/>
  <c r="BR54"/>
  <c r="BQ54"/>
  <c r="BP54"/>
  <c r="BO54"/>
  <c r="BL54" s="1"/>
  <c r="BN54"/>
  <c r="BM54"/>
  <c r="BK54"/>
  <c r="BJ54"/>
  <c r="BI54"/>
  <c r="BH54"/>
  <c r="BG54"/>
  <c r="BF54"/>
  <c r="BE54"/>
  <c r="BD54"/>
  <c r="BC54"/>
  <c r="BA54" s="1"/>
  <c r="BB54"/>
  <c r="AX54"/>
  <c r="AW54"/>
  <c r="AV54"/>
  <c r="AC54"/>
  <c r="H54"/>
  <c r="G54" s="1"/>
  <c r="BT53"/>
  <c r="BS53"/>
  <c r="BR53"/>
  <c r="BQ53"/>
  <c r="BP53"/>
  <c r="BO53"/>
  <c r="BN53"/>
  <c r="BM53"/>
  <c r="BK53"/>
  <c r="BJ53"/>
  <c r="BI53"/>
  <c r="BH53"/>
  <c r="BG53"/>
  <c r="BF53"/>
  <c r="BE53"/>
  <c r="BD53"/>
  <c r="BA53" s="1"/>
  <c r="BC53"/>
  <c r="BB53"/>
  <c r="AX53"/>
  <c r="AW53"/>
  <c r="AV53"/>
  <c r="AC53"/>
  <c r="H53"/>
  <c r="G53"/>
  <c r="BT52"/>
  <c r="BS52"/>
  <c r="BR52"/>
  <c r="BQ52"/>
  <c r="BP52"/>
  <c r="BO52"/>
  <c r="BN52"/>
  <c r="BM52"/>
  <c r="BK52"/>
  <c r="BJ52"/>
  <c r="BI52"/>
  <c r="BH52"/>
  <c r="BG52"/>
  <c r="BF52"/>
  <c r="BE52"/>
  <c r="BA52" s="1"/>
  <c r="BD52"/>
  <c r="BC52"/>
  <c r="BB52"/>
  <c r="AX52"/>
  <c r="AW52"/>
  <c r="AV52"/>
  <c r="AC52"/>
  <c r="H52"/>
  <c r="G52" s="1"/>
  <c r="BT51"/>
  <c r="BL51" s="1"/>
  <c r="BS51"/>
  <c r="BR51"/>
  <c r="BQ51"/>
  <c r="BP51"/>
  <c r="BO51"/>
  <c r="BN51"/>
  <c r="BM51"/>
  <c r="BK51"/>
  <c r="BJ51"/>
  <c r="BI51"/>
  <c r="BH51"/>
  <c r="BG51"/>
  <c r="BF51"/>
  <c r="BE51"/>
  <c r="BD51"/>
  <c r="BC51"/>
  <c r="BB51"/>
  <c r="AX51"/>
  <c r="AW51"/>
  <c r="AV51"/>
  <c r="AC51"/>
  <c r="G51" s="1"/>
  <c r="H51"/>
  <c r="BT50"/>
  <c r="BS50"/>
  <c r="BR50"/>
  <c r="BQ50"/>
  <c r="BP50"/>
  <c r="BO50"/>
  <c r="BN50"/>
  <c r="BM50"/>
  <c r="BL50"/>
  <c r="BK50"/>
  <c r="BJ50"/>
  <c r="BI50"/>
  <c r="BH50"/>
  <c r="BG50"/>
  <c r="BF50"/>
  <c r="BE50"/>
  <c r="BD50"/>
  <c r="BC50"/>
  <c r="BB50"/>
  <c r="AX50"/>
  <c r="AW50"/>
  <c r="AV50"/>
  <c r="AC50"/>
  <c r="H50"/>
  <c r="G50" s="1"/>
  <c r="BT49"/>
  <c r="BS49"/>
  <c r="BR49"/>
  <c r="BQ49"/>
  <c r="BP49"/>
  <c r="BO49"/>
  <c r="BN49"/>
  <c r="BM49"/>
  <c r="BL49" s="1"/>
  <c r="BK49"/>
  <c r="BJ49"/>
  <c r="BI49"/>
  <c r="BH49"/>
  <c r="BG49"/>
  <c r="BF49"/>
  <c r="BE49"/>
  <c r="BD49"/>
  <c r="BC49"/>
  <c r="BB49"/>
  <c r="BA49"/>
  <c r="AZ49" s="1"/>
  <c r="AX49"/>
  <c r="AW49"/>
  <c r="AV49"/>
  <c r="AC49"/>
  <c r="H49"/>
  <c r="G49"/>
  <c r="BT48"/>
  <c r="BS48"/>
  <c r="BR48"/>
  <c r="BQ48"/>
  <c r="BP48"/>
  <c r="BO48"/>
  <c r="BN48"/>
  <c r="BM48"/>
  <c r="BL48" s="1"/>
  <c r="BK48"/>
  <c r="BJ48"/>
  <c r="BI48"/>
  <c r="BH48"/>
  <c r="BG48"/>
  <c r="BF48"/>
  <c r="BE48"/>
  <c r="BD48"/>
  <c r="BA48" s="1"/>
  <c r="BC48"/>
  <c r="BB48"/>
  <c r="AX48"/>
  <c r="AW48"/>
  <c r="AV48"/>
  <c r="AC48"/>
  <c r="H48"/>
  <c r="G48" s="1"/>
  <c r="BT47"/>
  <c r="BS47"/>
  <c r="BR47"/>
  <c r="BQ47"/>
  <c r="BP47"/>
  <c r="BO47"/>
  <c r="BN47"/>
  <c r="BM47"/>
  <c r="BK47"/>
  <c r="BJ47"/>
  <c r="BI47"/>
  <c r="BH47"/>
  <c r="BG47"/>
  <c r="BF47"/>
  <c r="BE47"/>
  <c r="BD47"/>
  <c r="BC47"/>
  <c r="BB47"/>
  <c r="AX47"/>
  <c r="AW47"/>
  <c r="AV47"/>
  <c r="AC47"/>
  <c r="H47"/>
  <c r="G47"/>
  <c r="BT46"/>
  <c r="BS46"/>
  <c r="BR46"/>
  <c r="BQ46"/>
  <c r="BP46"/>
  <c r="BO46"/>
  <c r="BN46"/>
  <c r="BM46"/>
  <c r="BK46"/>
  <c r="BJ46"/>
  <c r="BI46"/>
  <c r="BH46"/>
  <c r="BG46"/>
  <c r="BF46"/>
  <c r="BE46"/>
  <c r="BD46"/>
  <c r="BC46"/>
  <c r="BB46"/>
  <c r="AX46"/>
  <c r="AW46"/>
  <c r="AV46"/>
  <c r="AC46"/>
  <c r="H46"/>
  <c r="BT45"/>
  <c r="BS45"/>
  <c r="BR45"/>
  <c r="BQ45"/>
  <c r="BP45"/>
  <c r="BO45"/>
  <c r="BL45" s="1"/>
  <c r="BN45"/>
  <c r="BM45"/>
  <c r="BK45"/>
  <c r="BJ45"/>
  <c r="BI45"/>
  <c r="BH45"/>
  <c r="BG45"/>
  <c r="BF45"/>
  <c r="BE45"/>
  <c r="BD45"/>
  <c r="BC45"/>
  <c r="BA45" s="1"/>
  <c r="AZ45" s="1"/>
  <c r="BB45"/>
  <c r="AX45"/>
  <c r="AW45"/>
  <c r="AV45"/>
  <c r="AC45"/>
  <c r="H45"/>
  <c r="G45" s="1"/>
  <c r="BT44"/>
  <c r="BS44"/>
  <c r="BR44"/>
  <c r="BL44" s="1"/>
  <c r="BQ44"/>
  <c r="BP44"/>
  <c r="BO44"/>
  <c r="BN44"/>
  <c r="BM44"/>
  <c r="BK44"/>
  <c r="BJ44"/>
  <c r="BI44"/>
  <c r="BH44"/>
  <c r="BG44"/>
  <c r="BF44"/>
  <c r="BA44" s="1"/>
  <c r="AZ44" s="1"/>
  <c r="BE44"/>
  <c r="BD44"/>
  <c r="BC44"/>
  <c r="BB44"/>
  <c r="AX44"/>
  <c r="AW44"/>
  <c r="AV44"/>
  <c r="AC44"/>
  <c r="H44"/>
  <c r="G44"/>
  <c r="BT43"/>
  <c r="BS43"/>
  <c r="BR43"/>
  <c r="BQ43"/>
  <c r="BP43"/>
  <c r="BO43"/>
  <c r="BN43"/>
  <c r="BM43"/>
  <c r="BK43"/>
  <c r="BJ43"/>
  <c r="BI43"/>
  <c r="BH43"/>
  <c r="BG43"/>
  <c r="BF43"/>
  <c r="BE43"/>
  <c r="BD43"/>
  <c r="BC43"/>
  <c r="BB43"/>
  <c r="BA43" s="1"/>
  <c r="AX43"/>
  <c r="AW43"/>
  <c r="AV43"/>
  <c r="AC43"/>
  <c r="H43"/>
  <c r="G43"/>
  <c r="BT42"/>
  <c r="BS42"/>
  <c r="BR42"/>
  <c r="BQ42"/>
  <c r="BP42"/>
  <c r="BO42"/>
  <c r="BN42"/>
  <c r="BM42"/>
  <c r="BL42"/>
  <c r="BK42"/>
  <c r="BJ42"/>
  <c r="BI42"/>
  <c r="BH42"/>
  <c r="BG42"/>
  <c r="BF42"/>
  <c r="BE42"/>
  <c r="BD42"/>
  <c r="BC42"/>
  <c r="BB42"/>
  <c r="AX42"/>
  <c r="AW42"/>
  <c r="AV42"/>
  <c r="AC42"/>
  <c r="H42"/>
  <c r="G42" s="1"/>
  <c r="BT41"/>
  <c r="BS41"/>
  <c r="BR41"/>
  <c r="BQ41"/>
  <c r="BP41"/>
  <c r="BO41"/>
  <c r="BN41"/>
  <c r="BL41" s="1"/>
  <c r="BM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s="1"/>
  <c r="AX40"/>
  <c r="AW40"/>
  <c r="AV40"/>
  <c r="AC40"/>
  <c r="G40" s="1"/>
  <c r="H40"/>
  <c r="BT39"/>
  <c r="BS39"/>
  <c r="BR39"/>
  <c r="BQ39"/>
  <c r="BP39"/>
  <c r="BO39"/>
  <c r="BN39"/>
  <c r="BM39"/>
  <c r="BK39"/>
  <c r="BJ39"/>
  <c r="BI39"/>
  <c r="BH39"/>
  <c r="BG39"/>
  <c r="BF39"/>
  <c r="BE39"/>
  <c r="BD39"/>
  <c r="BC39"/>
  <c r="BB39"/>
  <c r="AX39"/>
  <c r="AW39"/>
  <c r="AV39"/>
  <c r="AC39"/>
  <c r="H39"/>
  <c r="G39"/>
  <c r="BT38"/>
  <c r="BS38"/>
  <c r="BR38"/>
  <c r="BQ38"/>
  <c r="BP38"/>
  <c r="BO38"/>
  <c r="BN38"/>
  <c r="BM38"/>
  <c r="BK38"/>
  <c r="BJ38"/>
  <c r="BI38"/>
  <c r="BH38"/>
  <c r="BG38"/>
  <c r="BF38"/>
  <c r="BE38"/>
  <c r="BD38"/>
  <c r="BC38"/>
  <c r="BB38"/>
  <c r="AX38"/>
  <c r="AW38"/>
  <c r="AV38"/>
  <c r="AC38"/>
  <c r="H38"/>
  <c r="G38"/>
  <c r="BT37"/>
  <c r="BS37"/>
  <c r="BR37"/>
  <c r="BQ37"/>
  <c r="BP37"/>
  <c r="BO37"/>
  <c r="BN37"/>
  <c r="BM37"/>
  <c r="BK37"/>
  <c r="BJ37"/>
  <c r="BI37"/>
  <c r="BH37"/>
  <c r="BG37"/>
  <c r="BF37"/>
  <c r="BE37"/>
  <c r="BA37" s="1"/>
  <c r="BD37"/>
  <c r="BC37"/>
  <c r="BB37"/>
  <c r="AX37"/>
  <c r="AW37"/>
  <c r="AV37"/>
  <c r="AC37"/>
  <c r="G37" s="1"/>
  <c r="H37"/>
  <c r="BT36"/>
  <c r="BS36"/>
  <c r="BR36"/>
  <c r="BQ36"/>
  <c r="BP36"/>
  <c r="BO36"/>
  <c r="BN36"/>
  <c r="BM36"/>
  <c r="BL36"/>
  <c r="BK36"/>
  <c r="BJ36"/>
  <c r="BI36"/>
  <c r="BA36" s="1"/>
  <c r="AZ36" s="1"/>
  <c r="BH36"/>
  <c r="BG36"/>
  <c r="BF36"/>
  <c r="BE36"/>
  <c r="BD36"/>
  <c r="BC36"/>
  <c r="BB36"/>
  <c r="AX36"/>
  <c r="AW36"/>
  <c r="AV36"/>
  <c r="AC36"/>
  <c r="H36"/>
  <c r="BT35"/>
  <c r="BS35"/>
  <c r="BR35"/>
  <c r="BQ35"/>
  <c r="BP35"/>
  <c r="BO35"/>
  <c r="BN35"/>
  <c r="BM35"/>
  <c r="BL35" s="1"/>
  <c r="BK35"/>
  <c r="BJ35"/>
  <c r="BI35"/>
  <c r="BH35"/>
  <c r="BG35"/>
  <c r="BF35"/>
  <c r="BE35"/>
  <c r="BD35"/>
  <c r="BC35"/>
  <c r="BB35"/>
  <c r="BA35"/>
  <c r="AX35"/>
  <c r="AW35"/>
  <c r="AV35"/>
  <c r="AC35"/>
  <c r="H35"/>
  <c r="G35"/>
  <c r="BT34"/>
  <c r="BS34"/>
  <c r="BR34"/>
  <c r="BQ34"/>
  <c r="BP34"/>
  <c r="BO34"/>
  <c r="BN34"/>
  <c r="BM34"/>
  <c r="BK34"/>
  <c r="BJ34"/>
  <c r="BI34"/>
  <c r="BH34"/>
  <c r="BG34"/>
  <c r="BF34"/>
  <c r="BE34"/>
  <c r="BD34"/>
  <c r="BC34"/>
  <c r="BA34" s="1"/>
  <c r="BB34"/>
  <c r="AX34"/>
  <c r="AW34"/>
  <c r="AV34"/>
  <c r="AC34"/>
  <c r="H34"/>
  <c r="G34" s="1"/>
  <c r="BT33"/>
  <c r="BS33"/>
  <c r="BR33"/>
  <c r="BQ33"/>
  <c r="BP33"/>
  <c r="BO33"/>
  <c r="BN33"/>
  <c r="BM33"/>
  <c r="BK33"/>
  <c r="BJ33"/>
  <c r="BI33"/>
  <c r="BH33"/>
  <c r="BG33"/>
  <c r="BF33"/>
  <c r="BE33"/>
  <c r="BD33"/>
  <c r="BC33"/>
  <c r="BB33"/>
  <c r="AX33"/>
  <c r="AW33"/>
  <c r="AV33"/>
  <c r="AC33"/>
  <c r="H33"/>
  <c r="G33"/>
  <c r="BT32"/>
  <c r="BL32" s="1"/>
  <c r="BS32"/>
  <c r="BR32"/>
  <c r="BQ32"/>
  <c r="BP32"/>
  <c r="BO32"/>
  <c r="BN32"/>
  <c r="BM32"/>
  <c r="BK32"/>
  <c r="BJ32"/>
  <c r="BI32"/>
  <c r="BH32"/>
  <c r="BG32"/>
  <c r="BF32"/>
  <c r="BA32" s="1"/>
  <c r="BE32"/>
  <c r="BD32"/>
  <c r="BC32"/>
  <c r="BB32"/>
  <c r="AX32"/>
  <c r="AW32"/>
  <c r="AV32"/>
  <c r="AC32"/>
  <c r="H32"/>
  <c r="G32" s="1"/>
  <c r="BT31"/>
  <c r="BS31"/>
  <c r="BR31"/>
  <c r="BQ31"/>
  <c r="BP31"/>
  <c r="BO31"/>
  <c r="BN31"/>
  <c r="BM31"/>
  <c r="BL31"/>
  <c r="BK31"/>
  <c r="BJ31"/>
  <c r="BI31"/>
  <c r="BH31"/>
  <c r="BG31"/>
  <c r="BF31"/>
  <c r="BE31"/>
  <c r="BD31"/>
  <c r="BC31"/>
  <c r="BB31"/>
  <c r="BA31" s="1"/>
  <c r="AX31"/>
  <c r="AW31"/>
  <c r="AV31"/>
  <c r="AC31"/>
  <c r="H31"/>
  <c r="G31" s="1"/>
  <c r="BT30"/>
  <c r="BS30"/>
  <c r="BR30"/>
  <c r="BQ30"/>
  <c r="BP30"/>
  <c r="BO30"/>
  <c r="BN30"/>
  <c r="BM30"/>
  <c r="BL30"/>
  <c r="BK30"/>
  <c r="BJ30"/>
  <c r="BI30"/>
  <c r="BH30"/>
  <c r="BG30"/>
  <c r="BF30"/>
  <c r="BE30"/>
  <c r="BD30"/>
  <c r="BC30"/>
  <c r="BA30" s="1"/>
  <c r="AZ30" s="1"/>
  <c r="BB30"/>
  <c r="AX30"/>
  <c r="AW30"/>
  <c r="AV30"/>
  <c r="AC30"/>
  <c r="H30"/>
  <c r="G30" s="1"/>
  <c r="BT29"/>
  <c r="BS29"/>
  <c r="BR29"/>
  <c r="BQ29"/>
  <c r="BP29"/>
  <c r="BO29"/>
  <c r="BN29"/>
  <c r="BM29"/>
  <c r="BK29"/>
  <c r="BJ29"/>
  <c r="BI29"/>
  <c r="BH29"/>
  <c r="BG29"/>
  <c r="BF29"/>
  <c r="BE29"/>
  <c r="BD29"/>
  <c r="BC29"/>
  <c r="BB29"/>
  <c r="BA29"/>
  <c r="AX29"/>
  <c r="AW29"/>
  <c r="AV29"/>
  <c r="AC29"/>
  <c r="H29"/>
  <c r="G29"/>
  <c r="BT28"/>
  <c r="BS28"/>
  <c r="BR28"/>
  <c r="BQ28"/>
  <c r="BP28"/>
  <c r="BO28"/>
  <c r="BN28"/>
  <c r="BM28"/>
  <c r="BL28" s="1"/>
  <c r="BK28"/>
  <c r="BJ28"/>
  <c r="BI28"/>
  <c r="BH28"/>
  <c r="BG28"/>
  <c r="BF28"/>
  <c r="BE28"/>
  <c r="BD28"/>
  <c r="BA28" s="1"/>
  <c r="AZ28" s="1"/>
  <c r="BC28"/>
  <c r="BB28"/>
  <c r="AX28"/>
  <c r="AW28"/>
  <c r="AV28"/>
  <c r="AC28"/>
  <c r="H28"/>
  <c r="G28" s="1"/>
  <c r="BT27"/>
  <c r="BS27"/>
  <c r="BR27"/>
  <c r="BQ27"/>
  <c r="BP27"/>
  <c r="BO27"/>
  <c r="BL27" s="1"/>
  <c r="BN27"/>
  <c r="BM27"/>
  <c r="BK27"/>
  <c r="BJ27"/>
  <c r="BI27"/>
  <c r="BH27"/>
  <c r="BG27"/>
  <c r="BF27"/>
  <c r="BE27"/>
  <c r="BD27"/>
  <c r="BC27"/>
  <c r="BB27"/>
  <c r="BA27" s="1"/>
  <c r="AX27"/>
  <c r="AW27"/>
  <c r="AV27"/>
  <c r="AC27"/>
  <c r="H27"/>
  <c r="G27"/>
  <c r="BT26"/>
  <c r="BS26"/>
  <c r="BR26"/>
  <c r="BQ26"/>
  <c r="BP26"/>
  <c r="BO26"/>
  <c r="BN26"/>
  <c r="BM26"/>
  <c r="BL26"/>
  <c r="BK26"/>
  <c r="BJ26"/>
  <c r="BI26"/>
  <c r="BH26"/>
  <c r="BG26"/>
  <c r="BF26"/>
  <c r="BA26" s="1"/>
  <c r="AZ26" s="1"/>
  <c r="BE26"/>
  <c r="BD26"/>
  <c r="BC26"/>
  <c r="BB26"/>
  <c r="AX26"/>
  <c r="AW26"/>
  <c r="AV26"/>
  <c r="AC26"/>
  <c r="H26"/>
  <c r="G26"/>
  <c r="BT25"/>
  <c r="BS25"/>
  <c r="BR25"/>
  <c r="BQ25"/>
  <c r="BP25"/>
  <c r="BO25"/>
  <c r="BN25"/>
  <c r="BM25"/>
  <c r="BL25"/>
  <c r="BK25"/>
  <c r="BJ25"/>
  <c r="BI25"/>
  <c r="BH25"/>
  <c r="BG25"/>
  <c r="BF25"/>
  <c r="BE25"/>
  <c r="BD25"/>
  <c r="BC25"/>
  <c r="BA25" s="1"/>
  <c r="AZ25" s="1"/>
  <c r="BB25"/>
  <c r="AX25"/>
  <c r="AW25"/>
  <c r="AV25"/>
  <c r="AC25"/>
  <c r="H25"/>
  <c r="G25" s="1"/>
  <c r="BT24"/>
  <c r="BS24"/>
  <c r="BR24"/>
  <c r="BQ24"/>
  <c r="BP24"/>
  <c r="BO24"/>
  <c r="BL24" s="1"/>
  <c r="BN24"/>
  <c r="BM24"/>
  <c r="BK24"/>
  <c r="BJ24"/>
  <c r="BI24"/>
  <c r="BH24"/>
  <c r="BG24"/>
  <c r="BF24"/>
  <c r="BE24"/>
  <c r="BD24"/>
  <c r="BC24"/>
  <c r="BA24" s="1"/>
  <c r="BB24"/>
  <c r="AX24"/>
  <c r="AW24"/>
  <c r="AV24"/>
  <c r="AC24"/>
  <c r="H24"/>
  <c r="G24"/>
  <c r="BT23"/>
  <c r="BS23"/>
  <c r="BR23"/>
  <c r="BQ23"/>
  <c r="BP23"/>
  <c r="BO23"/>
  <c r="BN23"/>
  <c r="BM23"/>
  <c r="BL23" s="1"/>
  <c r="BK23"/>
  <c r="BJ23"/>
  <c r="BI23"/>
  <c r="BH23"/>
  <c r="BG23"/>
  <c r="BF23"/>
  <c r="BE23"/>
  <c r="BD23"/>
  <c r="BC23"/>
  <c r="BB23"/>
  <c r="BA23" s="1"/>
  <c r="AX23"/>
  <c r="AW23"/>
  <c r="AV23"/>
  <c r="AC23"/>
  <c r="H23"/>
  <c r="G23" s="1"/>
  <c r="BT22"/>
  <c r="BS22"/>
  <c r="BR22"/>
  <c r="BQ22"/>
  <c r="BP22"/>
  <c r="BO22"/>
  <c r="BN22"/>
  <c r="BM22"/>
  <c r="BK22"/>
  <c r="BJ22"/>
  <c r="BI22"/>
  <c r="BH22"/>
  <c r="BG22"/>
  <c r="BF22"/>
  <c r="BE22"/>
  <c r="BD22"/>
  <c r="BC22"/>
  <c r="BB22"/>
  <c r="BA22" s="1"/>
  <c r="AX22"/>
  <c r="AW22"/>
  <c r="AV22"/>
  <c r="AC22"/>
  <c r="H22"/>
  <c r="G22" s="1"/>
  <c r="BT21"/>
  <c r="BL21" s="1"/>
  <c r="BS21"/>
  <c r="BR21"/>
  <c r="BQ21"/>
  <c r="BP21"/>
  <c r="BO21"/>
  <c r="BN21"/>
  <c r="BM21"/>
  <c r="BK21"/>
  <c r="BJ21"/>
  <c r="BI21"/>
  <c r="BH21"/>
  <c r="BA21" s="1"/>
  <c r="BG21"/>
  <c r="BF21"/>
  <c r="BE21"/>
  <c r="BD21"/>
  <c r="BC21"/>
  <c r="BB21"/>
  <c r="AX21"/>
  <c r="AW21"/>
  <c r="AV21"/>
  <c r="AC21"/>
  <c r="G21" s="1"/>
  <c r="H21"/>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s="1"/>
  <c r="BK203"/>
  <c r="BJ203"/>
  <c r="BI203"/>
  <c r="BH203"/>
  <c r="BG203"/>
  <c r="BF203"/>
  <c r="BE203"/>
  <c r="BD203"/>
  <c r="BC203"/>
  <c r="BB203"/>
  <c r="BA203"/>
  <c r="AX203"/>
  <c r="AW203"/>
  <c r="AV203"/>
  <c r="AC203"/>
  <c r="H203"/>
  <c r="G203" s="1"/>
  <c r="BT202"/>
  <c r="BS202"/>
  <c r="BR202"/>
  <c r="BQ202"/>
  <c r="BP202"/>
  <c r="BO202"/>
  <c r="BN202"/>
  <c r="BL202" s="1"/>
  <c r="BM202"/>
  <c r="BK202"/>
  <c r="BJ202"/>
  <c r="BI202"/>
  <c r="BH202"/>
  <c r="BG202"/>
  <c r="BF202"/>
  <c r="BE202"/>
  <c r="BD202"/>
  <c r="BC202"/>
  <c r="BB202"/>
  <c r="AX202"/>
  <c r="AW202"/>
  <c r="AV202"/>
  <c r="AC202"/>
  <c r="H202"/>
  <c r="G202"/>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L200" s="1"/>
  <c r="BK200"/>
  <c r="BJ200"/>
  <c r="BI200"/>
  <c r="BH200"/>
  <c r="BG200"/>
  <c r="BF200"/>
  <c r="BE200"/>
  <c r="BD200"/>
  <c r="BC200"/>
  <c r="BB200"/>
  <c r="AX200"/>
  <c r="AW200"/>
  <c r="AV200"/>
  <c r="AC200"/>
  <c r="G200" s="1"/>
  <c r="H200"/>
  <c r="BT199"/>
  <c r="BS199"/>
  <c r="BR199"/>
  <c r="BQ199"/>
  <c r="BP199"/>
  <c r="BO199"/>
  <c r="BL199" s="1"/>
  <c r="BN199"/>
  <c r="BM199"/>
  <c r="BK199"/>
  <c r="BJ199"/>
  <c r="BI199"/>
  <c r="BH199"/>
  <c r="BG199"/>
  <c r="BF199"/>
  <c r="BE199"/>
  <c r="BD199"/>
  <c r="BC199"/>
  <c r="BB199"/>
  <c r="AX199"/>
  <c r="AW199"/>
  <c r="AV199"/>
  <c r="AC199"/>
  <c r="H199"/>
  <c r="G199"/>
  <c r="BT198"/>
  <c r="BS198"/>
  <c r="BR198"/>
  <c r="BQ198"/>
  <c r="BP198"/>
  <c r="BO198"/>
  <c r="BN198"/>
  <c r="BM198"/>
  <c r="BK198"/>
  <c r="BJ198"/>
  <c r="BI198"/>
  <c r="BH198"/>
  <c r="BG198"/>
  <c r="BF198"/>
  <c r="BE198"/>
  <c r="BD198"/>
  <c r="BA198" s="1"/>
  <c r="BC198"/>
  <c r="BB198"/>
  <c r="AX198"/>
  <c r="AW198"/>
  <c r="AV198"/>
  <c r="AC198"/>
  <c r="H198"/>
  <c r="BT197"/>
  <c r="BS197"/>
  <c r="BR197"/>
  <c r="BQ197"/>
  <c r="BP197"/>
  <c r="BO197"/>
  <c r="BN197"/>
  <c r="BM197"/>
  <c r="BK197"/>
  <c r="BJ197"/>
  <c r="BI197"/>
  <c r="BH197"/>
  <c r="BG197"/>
  <c r="BF197"/>
  <c r="BE197"/>
  <c r="BD197"/>
  <c r="BC197"/>
  <c r="BB197"/>
  <c r="AX197"/>
  <c r="AW197"/>
  <c r="AV197"/>
  <c r="AC197"/>
  <c r="H197"/>
  <c r="G197"/>
  <c r="BT196"/>
  <c r="BL196" s="1"/>
  <c r="BS196"/>
  <c r="BR196"/>
  <c r="BQ196"/>
  <c r="BP196"/>
  <c r="BO196"/>
  <c r="BN196"/>
  <c r="BM196"/>
  <c r="BK196"/>
  <c r="BJ196"/>
  <c r="BI196"/>
  <c r="BH196"/>
  <c r="BG196"/>
  <c r="BF196"/>
  <c r="BE196"/>
  <c r="BD196"/>
  <c r="BC196"/>
  <c r="BB196"/>
  <c r="AX196"/>
  <c r="AW196"/>
  <c r="AV196"/>
  <c r="AC196"/>
  <c r="H196"/>
  <c r="G196" s="1"/>
  <c r="BT195"/>
  <c r="BS195"/>
  <c r="BR195"/>
  <c r="BQ195"/>
  <c r="BP195"/>
  <c r="BO195"/>
  <c r="BN195"/>
  <c r="BM195"/>
  <c r="BL195" s="1"/>
  <c r="BK195"/>
  <c r="BJ195"/>
  <c r="BI195"/>
  <c r="BH195"/>
  <c r="BG195"/>
  <c r="BF195"/>
  <c r="BE195"/>
  <c r="BD195"/>
  <c r="BC195"/>
  <c r="BB195"/>
  <c r="AX195"/>
  <c r="AW195"/>
  <c r="AV195"/>
  <c r="AC195"/>
  <c r="G195" s="1"/>
  <c r="H195"/>
  <c r="BT194"/>
  <c r="BS194"/>
  <c r="BR194"/>
  <c r="BQ194"/>
  <c r="BP194"/>
  <c r="BO194"/>
  <c r="BN194"/>
  <c r="BM194"/>
  <c r="BL194"/>
  <c r="BK194"/>
  <c r="BJ194"/>
  <c r="BI194"/>
  <c r="BH194"/>
  <c r="BG194"/>
  <c r="BF194"/>
  <c r="BE194"/>
  <c r="BD194"/>
  <c r="BC194"/>
  <c r="BA194" s="1"/>
  <c r="AZ194" s="1"/>
  <c r="BB194"/>
  <c r="AX194"/>
  <c r="AW194"/>
  <c r="AV194"/>
  <c r="AC194"/>
  <c r="H194"/>
  <c r="BT193"/>
  <c r="BS193"/>
  <c r="BR193"/>
  <c r="BQ193"/>
  <c r="BP193"/>
  <c r="BO193"/>
  <c r="BN193"/>
  <c r="BM193"/>
  <c r="BK193"/>
  <c r="BJ193"/>
  <c r="BI193"/>
  <c r="BH193"/>
  <c r="BG193"/>
  <c r="BF193"/>
  <c r="BE193"/>
  <c r="BD193"/>
  <c r="BC193"/>
  <c r="BB193"/>
  <c r="BA193"/>
  <c r="AX193"/>
  <c r="AW193"/>
  <c r="AV193"/>
  <c r="AC193"/>
  <c r="H193"/>
  <c r="BT192"/>
  <c r="BS192"/>
  <c r="BR192"/>
  <c r="BQ192"/>
  <c r="BP192"/>
  <c r="BO192"/>
  <c r="BN192"/>
  <c r="BM192"/>
  <c r="BL192" s="1"/>
  <c r="BK192"/>
  <c r="BJ192"/>
  <c r="BI192"/>
  <c r="BH192"/>
  <c r="BG192"/>
  <c r="BF192"/>
  <c r="BE192"/>
  <c r="BD192"/>
  <c r="BC192"/>
  <c r="BB192"/>
  <c r="AX192"/>
  <c r="AW192"/>
  <c r="AV192"/>
  <c r="AC192"/>
  <c r="G192" s="1"/>
  <c r="H192"/>
  <c r="BT191"/>
  <c r="BS191"/>
  <c r="BR191"/>
  <c r="BQ191"/>
  <c r="BP191"/>
  <c r="BO191"/>
  <c r="BN191"/>
  <c r="BM191"/>
  <c r="BK191"/>
  <c r="BJ191"/>
  <c r="BI191"/>
  <c r="BH191"/>
  <c r="BG191"/>
  <c r="BF191"/>
  <c r="BE191"/>
  <c r="BD191"/>
  <c r="BC191"/>
  <c r="BB191"/>
  <c r="BA191" s="1"/>
  <c r="AX191"/>
  <c r="AW191"/>
  <c r="AV191"/>
  <c r="AC191"/>
  <c r="H191"/>
  <c r="G191"/>
  <c r="BT190"/>
  <c r="BS190"/>
  <c r="BR190"/>
  <c r="BQ190"/>
  <c r="BP190"/>
  <c r="BO190"/>
  <c r="BN190"/>
  <c r="BM190"/>
  <c r="BK190"/>
  <c r="BJ190"/>
  <c r="BI190"/>
  <c r="BH190"/>
  <c r="BG190"/>
  <c r="BF190"/>
  <c r="BE190"/>
  <c r="BD190"/>
  <c r="BC190"/>
  <c r="BA190" s="1"/>
  <c r="BB190"/>
  <c r="AX190"/>
  <c r="AW190"/>
  <c r="AV190"/>
  <c r="AC190"/>
  <c r="H190"/>
  <c r="BT189"/>
  <c r="BS189"/>
  <c r="BR189"/>
  <c r="BQ189"/>
  <c r="BP189"/>
  <c r="BO189"/>
  <c r="BN189"/>
  <c r="BM189"/>
  <c r="BK189"/>
  <c r="BJ189"/>
  <c r="BI189"/>
  <c r="BH189"/>
  <c r="BG189"/>
  <c r="BF189"/>
  <c r="BE189"/>
  <c r="BD189"/>
  <c r="BC189"/>
  <c r="BB189"/>
  <c r="AX189"/>
  <c r="AW189"/>
  <c r="AV189"/>
  <c r="AC189"/>
  <c r="H189"/>
  <c r="G189" s="1"/>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M187"/>
  <c r="BK187"/>
  <c r="BJ187"/>
  <c r="BI187"/>
  <c r="BH187"/>
  <c r="BG187"/>
  <c r="BF187"/>
  <c r="BE187"/>
  <c r="BD187"/>
  <c r="BC187"/>
  <c r="BB187"/>
  <c r="AX187"/>
  <c r="AW187"/>
  <c r="AV187"/>
  <c r="AC187"/>
  <c r="H187"/>
  <c r="G187"/>
  <c r="BT186"/>
  <c r="BS186"/>
  <c r="BR186"/>
  <c r="BQ186"/>
  <c r="BP186"/>
  <c r="BO186"/>
  <c r="BN186"/>
  <c r="BM186"/>
  <c r="BK186"/>
  <c r="BJ186"/>
  <c r="BI186"/>
  <c r="BH186"/>
  <c r="BA186" s="1"/>
  <c r="BG186"/>
  <c r="BF186"/>
  <c r="BE186"/>
  <c r="BD186"/>
  <c r="BC186"/>
  <c r="BB186"/>
  <c r="AX186"/>
  <c r="AW186"/>
  <c r="AV186"/>
  <c r="AC186"/>
  <c r="H186"/>
  <c r="BT185"/>
  <c r="BS185"/>
  <c r="BR185"/>
  <c r="BQ185"/>
  <c r="BP185"/>
  <c r="BO185"/>
  <c r="BN185"/>
  <c r="BM185"/>
  <c r="BK185"/>
  <c r="BJ185"/>
  <c r="BI185"/>
  <c r="BH185"/>
  <c r="BG185"/>
  <c r="BF185"/>
  <c r="BE185"/>
  <c r="BD185"/>
  <c r="BC185"/>
  <c r="BB185"/>
  <c r="AX185"/>
  <c r="AW185"/>
  <c r="AV185"/>
  <c r="AC185"/>
  <c r="G185" s="1"/>
  <c r="H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s="1"/>
  <c r="BT182"/>
  <c r="BS182"/>
  <c r="BR182"/>
  <c r="BQ182"/>
  <c r="BP182"/>
  <c r="BO182"/>
  <c r="BN182"/>
  <c r="BM182"/>
  <c r="BK182"/>
  <c r="BJ182"/>
  <c r="BI182"/>
  <c r="BH182"/>
  <c r="BG182"/>
  <c r="BF182"/>
  <c r="BE182"/>
  <c r="BD182"/>
  <c r="BC182"/>
  <c r="BB182"/>
  <c r="BA182" s="1"/>
  <c r="AX182"/>
  <c r="AW182"/>
  <c r="AV182"/>
  <c r="AC182"/>
  <c r="H182"/>
  <c r="BT181"/>
  <c r="BS181"/>
  <c r="BR181"/>
  <c r="BQ181"/>
  <c r="BP181"/>
  <c r="BO181"/>
  <c r="BN181"/>
  <c r="BM181"/>
  <c r="BK181"/>
  <c r="BJ181"/>
  <c r="BI181"/>
  <c r="BH181"/>
  <c r="BG181"/>
  <c r="BF181"/>
  <c r="BE181"/>
  <c r="BD181"/>
  <c r="BC181"/>
  <c r="BB181"/>
  <c r="AX181"/>
  <c r="AW181"/>
  <c r="AV181"/>
  <c r="AC181"/>
  <c r="H181"/>
  <c r="G181" s="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AX179"/>
  <c r="AW179"/>
  <c r="AV179"/>
  <c r="AC179"/>
  <c r="G179" s="1"/>
  <c r="H179"/>
  <c r="BT178"/>
  <c r="BS178"/>
  <c r="BR178"/>
  <c r="BQ178"/>
  <c r="BP178"/>
  <c r="BO178"/>
  <c r="BN178"/>
  <c r="BM178"/>
  <c r="BK178"/>
  <c r="BJ178"/>
  <c r="BI178"/>
  <c r="BH178"/>
  <c r="BG178"/>
  <c r="BF178"/>
  <c r="BE178"/>
  <c r="BD178"/>
  <c r="BC178"/>
  <c r="BB178"/>
  <c r="AX178"/>
  <c r="AW178"/>
  <c r="AV178"/>
  <c r="AC178"/>
  <c r="H178"/>
  <c r="G178"/>
  <c r="BT177"/>
  <c r="BS177"/>
  <c r="BR177"/>
  <c r="BQ177"/>
  <c r="BP177"/>
  <c r="BO177"/>
  <c r="BN177"/>
  <c r="BM177"/>
  <c r="BK177"/>
  <c r="BJ177"/>
  <c r="BI177"/>
  <c r="BH177"/>
  <c r="BA177" s="1"/>
  <c r="BG177"/>
  <c r="BF177"/>
  <c r="BE177"/>
  <c r="BD177"/>
  <c r="BC177"/>
  <c r="BB177"/>
  <c r="AX177"/>
  <c r="AW177"/>
  <c r="AV177"/>
  <c r="AC177"/>
  <c r="H177"/>
  <c r="BT176"/>
  <c r="BS176"/>
  <c r="BR176"/>
  <c r="BQ176"/>
  <c r="BP176"/>
  <c r="BO176"/>
  <c r="BN176"/>
  <c r="BL176" s="1"/>
  <c r="BM176"/>
  <c r="BK176"/>
  <c r="BJ176"/>
  <c r="BI176"/>
  <c r="BH176"/>
  <c r="BG176"/>
  <c r="BF176"/>
  <c r="BE176"/>
  <c r="BD176"/>
  <c r="BC176"/>
  <c r="BB176"/>
  <c r="BA176" s="1"/>
  <c r="AX176"/>
  <c r="AW176"/>
  <c r="AV176"/>
  <c r="AC176"/>
  <c r="H176"/>
  <c r="G176" s="1"/>
  <c r="BT175"/>
  <c r="BS175"/>
  <c r="BR175"/>
  <c r="BQ175"/>
  <c r="BP175"/>
  <c r="BO175"/>
  <c r="BN175"/>
  <c r="BM175"/>
  <c r="BL175" s="1"/>
  <c r="BK175"/>
  <c r="BJ175"/>
  <c r="BI175"/>
  <c r="BH175"/>
  <c r="BG175"/>
  <c r="BF175"/>
  <c r="BE175"/>
  <c r="BD175"/>
  <c r="BC175"/>
  <c r="BB175"/>
  <c r="BA175" s="1"/>
  <c r="AX175"/>
  <c r="AW175"/>
  <c r="AV175"/>
  <c r="AC175"/>
  <c r="H175"/>
  <c r="BT174"/>
  <c r="BS174"/>
  <c r="BR174"/>
  <c r="BQ174"/>
  <c r="BP174"/>
  <c r="BO174"/>
  <c r="BN174"/>
  <c r="BM174"/>
  <c r="BK174"/>
  <c r="BJ174"/>
  <c r="BI174"/>
  <c r="BH174"/>
  <c r="BG174"/>
  <c r="BF174"/>
  <c r="BE174"/>
  <c r="BD174"/>
  <c r="BC174"/>
  <c r="BB174"/>
  <c r="BA174" s="1"/>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K172"/>
  <c r="BJ172"/>
  <c r="BI172"/>
  <c r="BH172"/>
  <c r="BG172"/>
  <c r="BF172"/>
  <c r="BE172"/>
  <c r="BD172"/>
  <c r="BC172"/>
  <c r="BB172"/>
  <c r="BA172" s="1"/>
  <c r="AX172"/>
  <c r="AW172"/>
  <c r="AV172"/>
  <c r="AC172"/>
  <c r="H172"/>
  <c r="G172"/>
  <c r="BT171"/>
  <c r="BS171"/>
  <c r="BR171"/>
  <c r="BQ171"/>
  <c r="BP171"/>
  <c r="BO171"/>
  <c r="BN171"/>
  <c r="BM171"/>
  <c r="BK171"/>
  <c r="BJ171"/>
  <c r="BI171"/>
  <c r="BH171"/>
  <c r="BA171" s="1"/>
  <c r="BG171"/>
  <c r="BF171"/>
  <c r="BE171"/>
  <c r="BD171"/>
  <c r="BC171"/>
  <c r="BB171"/>
  <c r="AX171"/>
  <c r="AW171"/>
  <c r="AV171"/>
  <c r="AC171"/>
  <c r="H171"/>
  <c r="BT170"/>
  <c r="BS170"/>
  <c r="BR170"/>
  <c r="BQ170"/>
  <c r="BP170"/>
  <c r="BO170"/>
  <c r="BN170"/>
  <c r="BM170"/>
  <c r="BK170"/>
  <c r="BJ170"/>
  <c r="BI170"/>
  <c r="BH170"/>
  <c r="BG170"/>
  <c r="BF170"/>
  <c r="BE170"/>
  <c r="BD170"/>
  <c r="BC170"/>
  <c r="BB170"/>
  <c r="AX170"/>
  <c r="AW170"/>
  <c r="AV170"/>
  <c r="AC170"/>
  <c r="H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X168"/>
  <c r="AW168"/>
  <c r="AV168"/>
  <c r="AC168"/>
  <c r="H168"/>
  <c r="G168"/>
  <c r="BT167"/>
  <c r="BS167"/>
  <c r="BR167"/>
  <c r="BQ167"/>
  <c r="BP167"/>
  <c r="BO167"/>
  <c r="BN167"/>
  <c r="BM167"/>
  <c r="BK167"/>
  <c r="BJ167"/>
  <c r="BI167"/>
  <c r="BH167"/>
  <c r="BG167"/>
  <c r="BF167"/>
  <c r="BE167"/>
  <c r="BD167"/>
  <c r="BC167"/>
  <c r="BB167"/>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K165"/>
  <c r="BJ165"/>
  <c r="BI165"/>
  <c r="BH165"/>
  <c r="BG165"/>
  <c r="BF165"/>
  <c r="BE165"/>
  <c r="BD165"/>
  <c r="BC165"/>
  <c r="BB165"/>
  <c r="AX165"/>
  <c r="AW165"/>
  <c r="AV165"/>
  <c r="AC165"/>
  <c r="H165"/>
  <c r="G165" s="1"/>
  <c r="BT164"/>
  <c r="BS164"/>
  <c r="BR164"/>
  <c r="BQ164"/>
  <c r="BP164"/>
  <c r="BO164"/>
  <c r="BN164"/>
  <c r="BM164"/>
  <c r="BK164"/>
  <c r="BJ164"/>
  <c r="BI164"/>
  <c r="BH164"/>
  <c r="BG164"/>
  <c r="BF164"/>
  <c r="BE164"/>
  <c r="BD164"/>
  <c r="BC164"/>
  <c r="BB164"/>
  <c r="AX164"/>
  <c r="AW164"/>
  <c r="AV164"/>
  <c r="AC164"/>
  <c r="H164"/>
  <c r="G164"/>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AX162"/>
  <c r="AW162"/>
  <c r="AV162"/>
  <c r="AC162"/>
  <c r="H162"/>
  <c r="G162" s="1"/>
  <c r="BT161"/>
  <c r="BS161"/>
  <c r="BR161"/>
  <c r="BQ161"/>
  <c r="BP161"/>
  <c r="BO161"/>
  <c r="BN161"/>
  <c r="BM161"/>
  <c r="BL161"/>
  <c r="BK161"/>
  <c r="BJ161"/>
  <c r="BI161"/>
  <c r="BH161"/>
  <c r="BG161"/>
  <c r="BF161"/>
  <c r="BE161"/>
  <c r="BD161"/>
  <c r="BC161"/>
  <c r="BB161"/>
  <c r="AX161"/>
  <c r="AW161"/>
  <c r="AV161"/>
  <c r="AC161"/>
  <c r="G161" s="1"/>
  <c r="H161"/>
  <c r="BT160"/>
  <c r="BS160"/>
  <c r="BR160"/>
  <c r="BQ160"/>
  <c r="BP160"/>
  <c r="BO160"/>
  <c r="BN160"/>
  <c r="BM160"/>
  <c r="BL160" s="1"/>
  <c r="BK160"/>
  <c r="BJ160"/>
  <c r="BI160"/>
  <c r="BH160"/>
  <c r="BG160"/>
  <c r="BF160"/>
  <c r="BE160"/>
  <c r="BD160"/>
  <c r="BC160"/>
  <c r="BB160"/>
  <c r="BA160"/>
  <c r="AZ160" s="1"/>
  <c r="AX160"/>
  <c r="AW160"/>
  <c r="AV160"/>
  <c r="AC160"/>
  <c r="H160"/>
  <c r="G160"/>
  <c r="BT159"/>
  <c r="BS159"/>
  <c r="BR159"/>
  <c r="BQ159"/>
  <c r="BP159"/>
  <c r="BO159"/>
  <c r="BN159"/>
  <c r="BL159" s="1"/>
  <c r="BM159"/>
  <c r="BK159"/>
  <c r="BJ159"/>
  <c r="BI159"/>
  <c r="BH159"/>
  <c r="BG159"/>
  <c r="BF159"/>
  <c r="BE159"/>
  <c r="BD159"/>
  <c r="BC159"/>
  <c r="BB159"/>
  <c r="AX159"/>
  <c r="AW159"/>
  <c r="AV159"/>
  <c r="AC159"/>
  <c r="H159"/>
  <c r="BT158"/>
  <c r="BS158"/>
  <c r="BR158"/>
  <c r="BQ158"/>
  <c r="BP158"/>
  <c r="BO158"/>
  <c r="BN158"/>
  <c r="BM158"/>
  <c r="BK158"/>
  <c r="BJ158"/>
  <c r="BI158"/>
  <c r="BH158"/>
  <c r="BG158"/>
  <c r="BF158"/>
  <c r="BE158"/>
  <c r="BD158"/>
  <c r="BC158"/>
  <c r="BA158" s="1"/>
  <c r="BB158"/>
  <c r="AX158"/>
  <c r="AW158"/>
  <c r="AV158"/>
  <c r="AC158"/>
  <c r="H158"/>
  <c r="G158" s="1"/>
  <c r="BT157"/>
  <c r="BS157"/>
  <c r="BR157"/>
  <c r="BQ157"/>
  <c r="BP157"/>
  <c r="BO157"/>
  <c r="BL157" s="1"/>
  <c r="BN157"/>
  <c r="BM157"/>
  <c r="BK157"/>
  <c r="BJ157"/>
  <c r="BI157"/>
  <c r="BH157"/>
  <c r="BG157"/>
  <c r="BF157"/>
  <c r="BE157"/>
  <c r="BD157"/>
  <c r="BC157"/>
  <c r="BB157"/>
  <c r="AX157"/>
  <c r="AW157"/>
  <c r="AV157"/>
  <c r="AC157"/>
  <c r="G157" s="1"/>
  <c r="H157"/>
  <c r="BT156"/>
  <c r="BS156"/>
  <c r="BR156"/>
  <c r="BQ156"/>
  <c r="BP156"/>
  <c r="BO156"/>
  <c r="BN156"/>
  <c r="BM156"/>
  <c r="BK156"/>
  <c r="BJ156"/>
  <c r="BI156"/>
  <c r="BH156"/>
  <c r="BG156"/>
  <c r="BF156"/>
  <c r="BE156"/>
  <c r="BD156"/>
  <c r="BC156"/>
  <c r="BB156"/>
  <c r="AX156"/>
  <c r="AW156"/>
  <c r="AV156"/>
  <c r="AC156"/>
  <c r="H156"/>
  <c r="BT155"/>
  <c r="BS155"/>
  <c r="BR155"/>
  <c r="BQ155"/>
  <c r="BP155"/>
  <c r="BO155"/>
  <c r="BN155"/>
  <c r="BL155" s="1"/>
  <c r="BM155"/>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AX154"/>
  <c r="AW154"/>
  <c r="AV154"/>
  <c r="AC154"/>
  <c r="H154"/>
  <c r="G154" s="1"/>
  <c r="BT153"/>
  <c r="BS153"/>
  <c r="BR153"/>
  <c r="BQ153"/>
  <c r="BP153"/>
  <c r="BO153"/>
  <c r="BN153"/>
  <c r="BM153"/>
  <c r="BK153"/>
  <c r="BJ153"/>
  <c r="BI153"/>
  <c r="BH153"/>
  <c r="BG153"/>
  <c r="BF153"/>
  <c r="BE153"/>
  <c r="BD153"/>
  <c r="BC153"/>
  <c r="BB153"/>
  <c r="AX153"/>
  <c r="AW153"/>
  <c r="AV153"/>
  <c r="AC153"/>
  <c r="H153"/>
  <c r="G153" s="1"/>
  <c r="BT152"/>
  <c r="BS152"/>
  <c r="BR152"/>
  <c r="BQ152"/>
  <c r="BP152"/>
  <c r="BO152"/>
  <c r="BN152"/>
  <c r="BM152"/>
  <c r="BL152" s="1"/>
  <c r="BK152"/>
  <c r="BJ152"/>
  <c r="BI152"/>
  <c r="BH152"/>
  <c r="BG152"/>
  <c r="BF152"/>
  <c r="BE152"/>
  <c r="BD152"/>
  <c r="BC152"/>
  <c r="BB152"/>
  <c r="AX152"/>
  <c r="AW152"/>
  <c r="AV152"/>
  <c r="AC152"/>
  <c r="H152"/>
  <c r="G152"/>
  <c r="BT151"/>
  <c r="BS151"/>
  <c r="BR151"/>
  <c r="BQ151"/>
  <c r="BP151"/>
  <c r="BO151"/>
  <c r="BN151"/>
  <c r="BM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AX150"/>
  <c r="AW150"/>
  <c r="AV150"/>
  <c r="AC150"/>
  <c r="H150"/>
  <c r="G150" s="1"/>
  <c r="BT149"/>
  <c r="BS149"/>
  <c r="BR149"/>
  <c r="BQ149"/>
  <c r="BP149"/>
  <c r="BO149"/>
  <c r="BL149" s="1"/>
  <c r="BN149"/>
  <c r="BM149"/>
  <c r="BK149"/>
  <c r="BJ149"/>
  <c r="BI149"/>
  <c r="BH149"/>
  <c r="BG149"/>
  <c r="BF149"/>
  <c r="BE149"/>
  <c r="BD149"/>
  <c r="BC149"/>
  <c r="BB149"/>
  <c r="BA149" s="1"/>
  <c r="AZ149" s="1"/>
  <c r="AX149"/>
  <c r="AW149"/>
  <c r="AV149"/>
  <c r="AC149"/>
  <c r="H149"/>
  <c r="G149" s="1"/>
  <c r="BT148"/>
  <c r="BS148"/>
  <c r="BR148"/>
  <c r="BQ148"/>
  <c r="BP148"/>
  <c r="BO148"/>
  <c r="BN148"/>
  <c r="BM148"/>
  <c r="BL148" s="1"/>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s="1"/>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K145"/>
  <c r="BJ145"/>
  <c r="BI145"/>
  <c r="BH145"/>
  <c r="BG145"/>
  <c r="BF145"/>
  <c r="BE145"/>
  <c r="BD145"/>
  <c r="BC145"/>
  <c r="BB145"/>
  <c r="BA145"/>
  <c r="AX145"/>
  <c r="AW145"/>
  <c r="AV145"/>
  <c r="AC145"/>
  <c r="H145"/>
  <c r="G145"/>
  <c r="BT144"/>
  <c r="BS144"/>
  <c r="BR144"/>
  <c r="BQ144"/>
  <c r="BP144"/>
  <c r="BO144"/>
  <c r="BN144"/>
  <c r="BM144"/>
  <c r="BK144"/>
  <c r="BJ144"/>
  <c r="BI144"/>
  <c r="BH144"/>
  <c r="BG144"/>
  <c r="BF144"/>
  <c r="BE144"/>
  <c r="BD144"/>
  <c r="BA144" s="1"/>
  <c r="BC144"/>
  <c r="BB144"/>
  <c r="AX144"/>
  <c r="AW144"/>
  <c r="AV144"/>
  <c r="AC144"/>
  <c r="H144"/>
  <c r="BT143"/>
  <c r="BS143"/>
  <c r="BR143"/>
  <c r="BQ143"/>
  <c r="BP143"/>
  <c r="BO143"/>
  <c r="BN143"/>
  <c r="BM143"/>
  <c r="BK143"/>
  <c r="BJ143"/>
  <c r="BI143"/>
  <c r="BH143"/>
  <c r="BG143"/>
  <c r="BF143"/>
  <c r="BE143"/>
  <c r="BD143"/>
  <c r="BC143"/>
  <c r="BB143"/>
  <c r="AX143"/>
  <c r="AW143"/>
  <c r="AV143"/>
  <c r="AC143"/>
  <c r="G143" s="1"/>
  <c r="H143"/>
  <c r="BT142"/>
  <c r="BS142"/>
  <c r="BR142"/>
  <c r="BQ142"/>
  <c r="BP142"/>
  <c r="BO142"/>
  <c r="BN142"/>
  <c r="BM142"/>
  <c r="BK142"/>
  <c r="BJ142"/>
  <c r="BI142"/>
  <c r="BH142"/>
  <c r="BG142"/>
  <c r="BF142"/>
  <c r="BE142"/>
  <c r="BD142"/>
  <c r="BC142"/>
  <c r="BB142"/>
  <c r="AX142"/>
  <c r="AW142"/>
  <c r="AV142"/>
  <c r="AC142"/>
  <c r="H142"/>
  <c r="G142"/>
  <c r="BT141"/>
  <c r="BS141"/>
  <c r="BR141"/>
  <c r="BQ141"/>
  <c r="BP141"/>
  <c r="BO141"/>
  <c r="BN141"/>
  <c r="BM141"/>
  <c r="BL141" s="1"/>
  <c r="BK141"/>
  <c r="BJ141"/>
  <c r="BI141"/>
  <c r="BH141"/>
  <c r="BA141" s="1"/>
  <c r="BG141"/>
  <c r="BF141"/>
  <c r="BE141"/>
  <c r="BD141"/>
  <c r="BC141"/>
  <c r="BB141"/>
  <c r="AX141"/>
  <c r="AW141"/>
  <c r="AV141"/>
  <c r="AC141"/>
  <c r="G141" s="1"/>
  <c r="H141"/>
  <c r="BT140"/>
  <c r="BS140"/>
  <c r="BR140"/>
  <c r="BQ140"/>
  <c r="BP140"/>
  <c r="BO140"/>
  <c r="BN140"/>
  <c r="BM140"/>
  <c r="BL140"/>
  <c r="BK140"/>
  <c r="BJ140"/>
  <c r="BI140"/>
  <c r="BH140"/>
  <c r="BG140"/>
  <c r="BF140"/>
  <c r="BE140"/>
  <c r="BD140"/>
  <c r="BC140"/>
  <c r="BB140"/>
  <c r="AX140"/>
  <c r="AW140"/>
  <c r="AV140"/>
  <c r="AC140"/>
  <c r="H140"/>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K137"/>
  <c r="BJ137"/>
  <c r="BI137"/>
  <c r="BH137"/>
  <c r="BG137"/>
  <c r="BF137"/>
  <c r="BE137"/>
  <c r="BD137"/>
  <c r="BC137"/>
  <c r="BB137"/>
  <c r="BA137" s="1"/>
  <c r="AX137"/>
  <c r="AW137"/>
  <c r="AV137"/>
  <c r="AC137"/>
  <c r="H137"/>
  <c r="G137"/>
  <c r="BT136"/>
  <c r="BS136"/>
  <c r="BR136"/>
  <c r="BQ136"/>
  <c r="BP136"/>
  <c r="BO136"/>
  <c r="BN136"/>
  <c r="BM136"/>
  <c r="BK136"/>
  <c r="BJ136"/>
  <c r="BI136"/>
  <c r="BH136"/>
  <c r="BG136"/>
  <c r="BF136"/>
  <c r="BE136"/>
  <c r="BD136"/>
  <c r="BC136"/>
  <c r="BB136"/>
  <c r="AX136"/>
  <c r="AW136"/>
  <c r="AV136"/>
  <c r="AC136"/>
  <c r="H136"/>
  <c r="BT135"/>
  <c r="BS135"/>
  <c r="BR135"/>
  <c r="BQ135"/>
  <c r="BP135"/>
  <c r="BO135"/>
  <c r="BN135"/>
  <c r="BM135"/>
  <c r="BK135"/>
  <c r="BJ135"/>
  <c r="BI135"/>
  <c r="BH135"/>
  <c r="BG135"/>
  <c r="BF135"/>
  <c r="BE135"/>
  <c r="BD135"/>
  <c r="BC135"/>
  <c r="BB135"/>
  <c r="AX135"/>
  <c r="AW135"/>
  <c r="AV135"/>
  <c r="AC135"/>
  <c r="G135" s="1"/>
  <c r="H135"/>
  <c r="BT134"/>
  <c r="BS134"/>
  <c r="BR134"/>
  <c r="BQ134"/>
  <c r="BP134"/>
  <c r="BO134"/>
  <c r="BN134"/>
  <c r="BM134"/>
  <c r="BK134"/>
  <c r="BJ134"/>
  <c r="BI134"/>
  <c r="BH134"/>
  <c r="BG134"/>
  <c r="BF134"/>
  <c r="BE134"/>
  <c r="BD134"/>
  <c r="BC134"/>
  <c r="BB134"/>
  <c r="AX134"/>
  <c r="AW134"/>
  <c r="AV134"/>
  <c r="AC134"/>
  <c r="H134"/>
  <c r="G134"/>
  <c r="BT133"/>
  <c r="BS133"/>
  <c r="BR133"/>
  <c r="BQ133"/>
  <c r="BP133"/>
  <c r="BO133"/>
  <c r="BN133"/>
  <c r="BM133"/>
  <c r="BK133"/>
  <c r="BJ133"/>
  <c r="BI133"/>
  <c r="BH133"/>
  <c r="BG133"/>
  <c r="BF133"/>
  <c r="BE133"/>
  <c r="BD133"/>
  <c r="BC133"/>
  <c r="BB133"/>
  <c r="AX133"/>
  <c r="AW133"/>
  <c r="AV133"/>
  <c r="AC133"/>
  <c r="G133" s="1"/>
  <c r="H133"/>
  <c r="BT132"/>
  <c r="BS132"/>
  <c r="BR132"/>
  <c r="BQ132"/>
  <c r="BP132"/>
  <c r="BO132"/>
  <c r="BN132"/>
  <c r="BM132"/>
  <c r="BL132"/>
  <c r="BK132"/>
  <c r="BJ132"/>
  <c r="BI132"/>
  <c r="BH132"/>
  <c r="BG132"/>
  <c r="BF132"/>
  <c r="BE132"/>
  <c r="BD132"/>
  <c r="BC132"/>
  <c r="BA132" s="1"/>
  <c r="AZ132" s="1"/>
  <c r="BB132"/>
  <c r="AX132"/>
  <c r="AW132"/>
  <c r="AV132"/>
  <c r="AC132"/>
  <c r="H132"/>
  <c r="BT131"/>
  <c r="BS131"/>
  <c r="BR131"/>
  <c r="BQ131"/>
  <c r="BP131"/>
  <c r="BO131"/>
  <c r="BN131"/>
  <c r="BM131"/>
  <c r="BK131"/>
  <c r="BJ131"/>
  <c r="BI131"/>
  <c r="BH131"/>
  <c r="BG131"/>
  <c r="BF131"/>
  <c r="BE131"/>
  <c r="BD131"/>
  <c r="BC131"/>
  <c r="BB131"/>
  <c r="BA131"/>
  <c r="AX131"/>
  <c r="AW131"/>
  <c r="AV131"/>
  <c r="AC131"/>
  <c r="H131"/>
  <c r="G131" s="1"/>
  <c r="BT130"/>
  <c r="BS130"/>
  <c r="BR130"/>
  <c r="BQ130"/>
  <c r="BP130"/>
  <c r="BO130"/>
  <c r="BN130"/>
  <c r="BM130"/>
  <c r="BK130"/>
  <c r="BJ130"/>
  <c r="BI130"/>
  <c r="BH130"/>
  <c r="BG130"/>
  <c r="BF130"/>
  <c r="BE130"/>
  <c r="BD130"/>
  <c r="BC130"/>
  <c r="BB130"/>
  <c r="AX130"/>
  <c r="AW130"/>
  <c r="AV130"/>
  <c r="AC130"/>
  <c r="H130"/>
  <c r="G130"/>
  <c r="BT129"/>
  <c r="BS129"/>
  <c r="BR129"/>
  <c r="BQ129"/>
  <c r="BP129"/>
  <c r="BO129"/>
  <c r="BN129"/>
  <c r="BM129"/>
  <c r="BK129"/>
  <c r="BJ129"/>
  <c r="BI129"/>
  <c r="BH129"/>
  <c r="BG129"/>
  <c r="BF129"/>
  <c r="BE129"/>
  <c r="BD129"/>
  <c r="BC129"/>
  <c r="BA129" s="1"/>
  <c r="BB129"/>
  <c r="AX129"/>
  <c r="AW129"/>
  <c r="AV129"/>
  <c r="AC129"/>
  <c r="H129"/>
  <c r="G129" s="1"/>
  <c r="BT128"/>
  <c r="BS128"/>
  <c r="BR128"/>
  <c r="BQ128"/>
  <c r="BP128"/>
  <c r="BO128"/>
  <c r="BN128"/>
  <c r="BM128"/>
  <c r="BK128"/>
  <c r="BJ128"/>
  <c r="BI128"/>
  <c r="BH128"/>
  <c r="BG128"/>
  <c r="BF128"/>
  <c r="BE128"/>
  <c r="BD128"/>
  <c r="BC128"/>
  <c r="BB128"/>
  <c r="AX128"/>
  <c r="AW128"/>
  <c r="AV128"/>
  <c r="AC128"/>
  <c r="H128"/>
  <c r="BT127"/>
  <c r="BS127"/>
  <c r="BR127"/>
  <c r="BQ127"/>
  <c r="BP127"/>
  <c r="BO127"/>
  <c r="BN127"/>
  <c r="BM127"/>
  <c r="BK127"/>
  <c r="BJ127"/>
  <c r="BI127"/>
  <c r="BH127"/>
  <c r="BG127"/>
  <c r="BF127"/>
  <c r="BE127"/>
  <c r="BD127"/>
  <c r="BC127"/>
  <c r="BB127"/>
  <c r="AX127"/>
  <c r="AW127"/>
  <c r="AV127"/>
  <c r="AC127"/>
  <c r="H127"/>
  <c r="G127"/>
  <c r="BT126"/>
  <c r="BS126"/>
  <c r="BR126"/>
  <c r="BQ126"/>
  <c r="BP126"/>
  <c r="BO126"/>
  <c r="BN126"/>
  <c r="BM126"/>
  <c r="BL126" s="1"/>
  <c r="BK126"/>
  <c r="BJ126"/>
  <c r="BI126"/>
  <c r="BH126"/>
  <c r="BG126"/>
  <c r="BF126"/>
  <c r="BE126"/>
  <c r="BD126"/>
  <c r="BC126"/>
  <c r="BB126"/>
  <c r="AX126"/>
  <c r="AW126"/>
  <c r="AV126"/>
  <c r="AC126"/>
  <c r="H126"/>
  <c r="BT125"/>
  <c r="BS125"/>
  <c r="BR125"/>
  <c r="BQ125"/>
  <c r="BP125"/>
  <c r="BO125"/>
  <c r="BN125"/>
  <c r="BL125" s="1"/>
  <c r="BM125"/>
  <c r="BK125"/>
  <c r="BJ125"/>
  <c r="BI125"/>
  <c r="BH125"/>
  <c r="BG125"/>
  <c r="BF125"/>
  <c r="BE125"/>
  <c r="BD125"/>
  <c r="BC125"/>
  <c r="BB125"/>
  <c r="AX125"/>
  <c r="AW125"/>
  <c r="AV125"/>
  <c r="AC125"/>
  <c r="H125"/>
  <c r="G125" s="1"/>
  <c r="BT124"/>
  <c r="BS124"/>
  <c r="BR124"/>
  <c r="BQ124"/>
  <c r="BP124"/>
  <c r="BO124"/>
  <c r="BN124"/>
  <c r="BM124"/>
  <c r="BL124" s="1"/>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c r="BT122"/>
  <c r="BS122"/>
  <c r="BR122"/>
  <c r="BQ122"/>
  <c r="BP122"/>
  <c r="BO122"/>
  <c r="BN122"/>
  <c r="BM122"/>
  <c r="BK122"/>
  <c r="BJ122"/>
  <c r="BI122"/>
  <c r="BH122"/>
  <c r="BG122"/>
  <c r="BF122"/>
  <c r="BE122"/>
  <c r="BD122"/>
  <c r="BC122"/>
  <c r="BB122"/>
  <c r="AX122"/>
  <c r="AW122"/>
  <c r="AV122"/>
  <c r="AC122"/>
  <c r="H122"/>
  <c r="G122"/>
  <c r="BT121"/>
  <c r="BS121"/>
  <c r="BR121"/>
  <c r="BQ121"/>
  <c r="BP121"/>
  <c r="BO121"/>
  <c r="BN121"/>
  <c r="BM121"/>
  <c r="BK121"/>
  <c r="BJ121"/>
  <c r="BI121"/>
  <c r="BH121"/>
  <c r="BG121"/>
  <c r="BF121"/>
  <c r="BE121"/>
  <c r="BD121"/>
  <c r="BA121" s="1"/>
  <c r="BC121"/>
  <c r="BB121"/>
  <c r="AX121"/>
  <c r="AW121"/>
  <c r="AV121"/>
  <c r="AC121"/>
  <c r="H121"/>
  <c r="G121" s="1"/>
  <c r="BT120"/>
  <c r="BS120"/>
  <c r="BR120"/>
  <c r="BQ120"/>
  <c r="BP120"/>
  <c r="BO120"/>
  <c r="BN120"/>
  <c r="BM120"/>
  <c r="BK120"/>
  <c r="BJ120"/>
  <c r="BI120"/>
  <c r="BH120"/>
  <c r="BG120"/>
  <c r="BF120"/>
  <c r="BE120"/>
  <c r="BD120"/>
  <c r="BC120"/>
  <c r="BB120"/>
  <c r="AX120"/>
  <c r="AW120"/>
  <c r="AV120"/>
  <c r="AC120"/>
  <c r="H120"/>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M118"/>
  <c r="BL118" s="1"/>
  <c r="BK118"/>
  <c r="BJ118"/>
  <c r="BI118"/>
  <c r="BH118"/>
  <c r="BG118"/>
  <c r="BF118"/>
  <c r="BE118"/>
  <c r="BD118"/>
  <c r="BC118"/>
  <c r="BB118"/>
  <c r="AX118"/>
  <c r="AW118"/>
  <c r="AV118"/>
  <c r="AC118"/>
  <c r="H118"/>
  <c r="BT117"/>
  <c r="BS117"/>
  <c r="BR117"/>
  <c r="BQ117"/>
  <c r="BP117"/>
  <c r="BO117"/>
  <c r="BN117"/>
  <c r="BL117" s="1"/>
  <c r="BM117"/>
  <c r="BK117"/>
  <c r="BJ117"/>
  <c r="BI117"/>
  <c r="BH117"/>
  <c r="BG117"/>
  <c r="BF117"/>
  <c r="BE117"/>
  <c r="BD117"/>
  <c r="BC117"/>
  <c r="BB117"/>
  <c r="BA117" s="1"/>
  <c r="AX117"/>
  <c r="AW117"/>
  <c r="AV117"/>
  <c r="AC117"/>
  <c r="H117"/>
  <c r="G117" s="1"/>
  <c r="BT116"/>
  <c r="BS116"/>
  <c r="BR116"/>
  <c r="BQ116"/>
  <c r="BP116"/>
  <c r="BO116"/>
  <c r="BN116"/>
  <c r="BM116"/>
  <c r="BL116" s="1"/>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B115"/>
  <c r="BA115" s="1"/>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K113"/>
  <c r="BJ113"/>
  <c r="BI113"/>
  <c r="BH113"/>
  <c r="BG113"/>
  <c r="BF113"/>
  <c r="BE113"/>
  <c r="BD113"/>
  <c r="BC113"/>
  <c r="BB113"/>
  <c r="AX113"/>
  <c r="AW113"/>
  <c r="AV113"/>
  <c r="AC113"/>
  <c r="H113"/>
  <c r="G113"/>
  <c r="BT296"/>
  <c r="BS296"/>
  <c r="BR296"/>
  <c r="BQ296"/>
  <c r="BP296"/>
  <c r="BO296"/>
  <c r="BN296"/>
  <c r="BM296"/>
  <c r="BK296"/>
  <c r="BJ296"/>
  <c r="BI296"/>
  <c r="BH296"/>
  <c r="BA296" s="1"/>
  <c r="BG296"/>
  <c r="BF296"/>
  <c r="BE296"/>
  <c r="BD296"/>
  <c r="BC296"/>
  <c r="BB296"/>
  <c r="AX296"/>
  <c r="AW296"/>
  <c r="AV296"/>
  <c r="AC296"/>
  <c r="G296" s="1"/>
  <c r="H296"/>
  <c r="BT295"/>
  <c r="BS295"/>
  <c r="BR295"/>
  <c r="BQ295"/>
  <c r="BP295"/>
  <c r="BO295"/>
  <c r="BN295"/>
  <c r="BM295"/>
  <c r="BL295"/>
  <c r="BK295"/>
  <c r="BJ295"/>
  <c r="BI295"/>
  <c r="BH295"/>
  <c r="BG295"/>
  <c r="BF295"/>
  <c r="BE295"/>
  <c r="BD295"/>
  <c r="BC295"/>
  <c r="BB295"/>
  <c r="AX295"/>
  <c r="AW295"/>
  <c r="AV295"/>
  <c r="AC295"/>
  <c r="H295"/>
  <c r="G295" s="1"/>
  <c r="BT294"/>
  <c r="BS294"/>
  <c r="BR294"/>
  <c r="BQ294"/>
  <c r="BP294"/>
  <c r="BO294"/>
  <c r="BN294"/>
  <c r="BM294"/>
  <c r="BL294" s="1"/>
  <c r="BK294"/>
  <c r="BJ294"/>
  <c r="BI294"/>
  <c r="BH294"/>
  <c r="BG294"/>
  <c r="BF294"/>
  <c r="BE294"/>
  <c r="BD294"/>
  <c r="BC294"/>
  <c r="BB294"/>
  <c r="BA294" s="1"/>
  <c r="AZ294" s="1"/>
  <c r="AX294"/>
  <c r="AW294"/>
  <c r="AV294"/>
  <c r="AC294"/>
  <c r="H294"/>
  <c r="G294"/>
  <c r="BT293"/>
  <c r="BS293"/>
  <c r="BR293"/>
  <c r="BQ293"/>
  <c r="BP293"/>
  <c r="BO293"/>
  <c r="BN293"/>
  <c r="BM293"/>
  <c r="BK293"/>
  <c r="BJ293"/>
  <c r="BI293"/>
  <c r="BH293"/>
  <c r="BG293"/>
  <c r="BF293"/>
  <c r="BE293"/>
  <c r="BD293"/>
  <c r="BA293" s="1"/>
  <c r="BC293"/>
  <c r="BB293"/>
  <c r="AX293"/>
  <c r="AW293"/>
  <c r="AV293"/>
  <c r="AC293"/>
  <c r="G293" s="1"/>
  <c r="H293"/>
  <c r="BT292"/>
  <c r="BS292"/>
  <c r="BL292" s="1"/>
  <c r="BR292"/>
  <c r="BQ292"/>
  <c r="BP292"/>
  <c r="BO292"/>
  <c r="BN292"/>
  <c r="BM292"/>
  <c r="BK292"/>
  <c r="BJ292"/>
  <c r="BI292"/>
  <c r="BH292"/>
  <c r="BG292"/>
  <c r="BF292"/>
  <c r="BE292"/>
  <c r="BD292"/>
  <c r="BC292"/>
  <c r="BB292"/>
  <c r="AX292"/>
  <c r="AW292"/>
  <c r="AV292"/>
  <c r="AC292"/>
  <c r="H292"/>
  <c r="G292" s="1"/>
  <c r="BT291"/>
  <c r="BS291"/>
  <c r="BR291"/>
  <c r="BQ291"/>
  <c r="BP291"/>
  <c r="BO291"/>
  <c r="BN291"/>
  <c r="BM291"/>
  <c r="BL291" s="1"/>
  <c r="BK291"/>
  <c r="BJ291"/>
  <c r="BI291"/>
  <c r="BH291"/>
  <c r="BG291"/>
  <c r="BF291"/>
  <c r="BE291"/>
  <c r="BD291"/>
  <c r="BC291"/>
  <c r="BB29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s="1"/>
  <c r="BT289"/>
  <c r="BS289"/>
  <c r="BR289"/>
  <c r="BQ289"/>
  <c r="BP289"/>
  <c r="BO289"/>
  <c r="BN289"/>
  <c r="BL289" s="1"/>
  <c r="BM289"/>
  <c r="BK289"/>
  <c r="BJ289"/>
  <c r="BI289"/>
  <c r="BH289"/>
  <c r="BG289"/>
  <c r="BF289"/>
  <c r="BE289"/>
  <c r="BD289"/>
  <c r="BC289"/>
  <c r="BB289"/>
  <c r="AX289"/>
  <c r="AW289"/>
  <c r="AV289"/>
  <c r="AC289"/>
  <c r="H289"/>
  <c r="G289"/>
  <c r="BT288"/>
  <c r="BS288"/>
  <c r="BR288"/>
  <c r="BQ288"/>
  <c r="BP288"/>
  <c r="BO288"/>
  <c r="BN288"/>
  <c r="BM288"/>
  <c r="BK288"/>
  <c r="BJ288"/>
  <c r="BI288"/>
  <c r="BH288"/>
  <c r="BG288"/>
  <c r="BF288"/>
  <c r="BE288"/>
  <c r="BD288"/>
  <c r="BA288" s="1"/>
  <c r="BC288"/>
  <c r="BB288"/>
  <c r="AX288"/>
  <c r="AW288"/>
  <c r="AV288"/>
  <c r="AC288"/>
  <c r="G288" s="1"/>
  <c r="H288"/>
  <c r="BT287"/>
  <c r="BS287"/>
  <c r="BL287" s="1"/>
  <c r="BR287"/>
  <c r="BQ287"/>
  <c r="BP287"/>
  <c r="BO287"/>
  <c r="BN287"/>
  <c r="BM287"/>
  <c r="BK287"/>
  <c r="BJ287"/>
  <c r="BI287"/>
  <c r="BH287"/>
  <c r="BG287"/>
  <c r="BF287"/>
  <c r="BE287"/>
  <c r="BD287"/>
  <c r="BC287"/>
  <c r="BB287"/>
  <c r="AX287"/>
  <c r="AW287"/>
  <c r="AV287"/>
  <c r="AC287"/>
  <c r="H287"/>
  <c r="BT286"/>
  <c r="BS286"/>
  <c r="BR286"/>
  <c r="BQ286"/>
  <c r="BP286"/>
  <c r="BO286"/>
  <c r="BN286"/>
  <c r="BL286" s="1"/>
  <c r="BM286"/>
  <c r="BK286"/>
  <c r="BJ286"/>
  <c r="BI286"/>
  <c r="BH286"/>
  <c r="BG286"/>
  <c r="BF286"/>
  <c r="BE286"/>
  <c r="BD286"/>
  <c r="BC286"/>
  <c r="BB286"/>
  <c r="BA286" s="1"/>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L284" s="1"/>
  <c r="BN284"/>
  <c r="BM284"/>
  <c r="BK284"/>
  <c r="BJ284"/>
  <c r="BI284"/>
  <c r="BH284"/>
  <c r="BG284"/>
  <c r="BF284"/>
  <c r="BE284"/>
  <c r="BD284"/>
  <c r="BC284"/>
  <c r="BB284"/>
  <c r="AX284"/>
  <c r="AW284"/>
  <c r="AV284"/>
  <c r="AC284"/>
  <c r="H284"/>
  <c r="G284" s="1"/>
  <c r="BT283"/>
  <c r="BS283"/>
  <c r="BR283"/>
  <c r="BQ283"/>
  <c r="BP283"/>
  <c r="BO283"/>
  <c r="BN283"/>
  <c r="BM283"/>
  <c r="BK283"/>
  <c r="BJ283"/>
  <c r="BI283"/>
  <c r="BH283"/>
  <c r="BG283"/>
  <c r="BF283"/>
  <c r="BE283"/>
  <c r="BD283"/>
  <c r="BC283"/>
  <c r="BB283"/>
  <c r="AX283"/>
  <c r="AW283"/>
  <c r="AV283"/>
  <c r="AC283"/>
  <c r="H283"/>
  <c r="G283"/>
  <c r="BT282"/>
  <c r="BS282"/>
  <c r="BR282"/>
  <c r="BQ282"/>
  <c r="BP282"/>
  <c r="BO282"/>
  <c r="BN282"/>
  <c r="BM282"/>
  <c r="BK282"/>
  <c r="BJ282"/>
  <c r="BI282"/>
  <c r="BH282"/>
  <c r="BA282" s="1"/>
  <c r="BG282"/>
  <c r="BF282"/>
  <c r="BE282"/>
  <c r="BD282"/>
  <c r="BC282"/>
  <c r="BB282"/>
  <c r="AX282"/>
  <c r="AW282"/>
  <c r="AV282"/>
  <c r="AC282"/>
  <c r="H282"/>
  <c r="BT281"/>
  <c r="BS281"/>
  <c r="BR281"/>
  <c r="BQ281"/>
  <c r="BP281"/>
  <c r="BO281"/>
  <c r="BN281"/>
  <c r="BL281" s="1"/>
  <c r="BM281"/>
  <c r="BK281"/>
  <c r="BJ281"/>
  <c r="BI281"/>
  <c r="BH281"/>
  <c r="BG281"/>
  <c r="BF281"/>
  <c r="BE281"/>
  <c r="BD281"/>
  <c r="BC281"/>
  <c r="BB281"/>
  <c r="AX281"/>
  <c r="AW281"/>
  <c r="AV281"/>
  <c r="AC281"/>
  <c r="H281"/>
  <c r="G281"/>
  <c r="BT280"/>
  <c r="BS280"/>
  <c r="BR280"/>
  <c r="BQ280"/>
  <c r="BP280"/>
  <c r="BO280"/>
  <c r="BN280"/>
  <c r="BM280"/>
  <c r="BL280" s="1"/>
  <c r="BK280"/>
  <c r="BJ280"/>
  <c r="BI280"/>
  <c r="BH280"/>
  <c r="BG280"/>
  <c r="BF280"/>
  <c r="BE280"/>
  <c r="BD280"/>
  <c r="BC280"/>
  <c r="BB280"/>
  <c r="BA280"/>
  <c r="AX280"/>
  <c r="AW280"/>
  <c r="AV280"/>
  <c r="AC280"/>
  <c r="H280"/>
  <c r="G280"/>
  <c r="BT279"/>
  <c r="BS279"/>
  <c r="BR279"/>
  <c r="BQ279"/>
  <c r="BP279"/>
  <c r="BO279"/>
  <c r="BN279"/>
  <c r="BM279"/>
  <c r="BK279"/>
  <c r="BJ279"/>
  <c r="BI279"/>
  <c r="BH279"/>
  <c r="BG279"/>
  <c r="BF279"/>
  <c r="BE279"/>
  <c r="BD279"/>
  <c r="BC279"/>
  <c r="BA279" s="1"/>
  <c r="BB279"/>
  <c r="AX279"/>
  <c r="AW279"/>
  <c r="AV279"/>
  <c r="AC279"/>
  <c r="H279"/>
  <c r="G279" s="1"/>
  <c r="BT278"/>
  <c r="BS278"/>
  <c r="BR278"/>
  <c r="BQ278"/>
  <c r="BP278"/>
  <c r="BO278"/>
  <c r="BN278"/>
  <c r="BM278"/>
  <c r="BK278"/>
  <c r="BJ278"/>
  <c r="BI278"/>
  <c r="BH278"/>
  <c r="BG278"/>
  <c r="BF278"/>
  <c r="BE278"/>
  <c r="BD278"/>
  <c r="BC278"/>
  <c r="BB278"/>
  <c r="BA278" s="1"/>
  <c r="AX278"/>
  <c r="AW278"/>
  <c r="AV278"/>
  <c r="AC278"/>
  <c r="H278"/>
  <c r="G278"/>
  <c r="BT277"/>
  <c r="BS277"/>
  <c r="BR277"/>
  <c r="BQ277"/>
  <c r="BP277"/>
  <c r="BO277"/>
  <c r="BN277"/>
  <c r="BM277"/>
  <c r="BL277" s="1"/>
  <c r="BK277"/>
  <c r="BJ277"/>
  <c r="BI277"/>
  <c r="BH277"/>
  <c r="BA277" s="1"/>
  <c r="BG277"/>
  <c r="BF277"/>
  <c r="BE277"/>
  <c r="BD277"/>
  <c r="BC277"/>
  <c r="BB277"/>
  <c r="AX277"/>
  <c r="AW277"/>
  <c r="AV277"/>
  <c r="AC277"/>
  <c r="G277" s="1"/>
  <c r="H277"/>
  <c r="BT276"/>
  <c r="BS276"/>
  <c r="BR276"/>
  <c r="BQ276"/>
  <c r="BP276"/>
  <c r="BO276"/>
  <c r="BN276"/>
  <c r="BM276"/>
  <c r="BL276"/>
  <c r="BK276"/>
  <c r="BJ276"/>
  <c r="BI276"/>
  <c r="BH276"/>
  <c r="BG276"/>
  <c r="BF276"/>
  <c r="BE276"/>
  <c r="BD276"/>
  <c r="BC276"/>
  <c r="BB276"/>
  <c r="AX276"/>
  <c r="AW276"/>
  <c r="AV276"/>
  <c r="AC276"/>
  <c r="H276"/>
  <c r="G276" s="1"/>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AX274"/>
  <c r="AW274"/>
  <c r="AV274"/>
  <c r="AC274"/>
  <c r="H274"/>
  <c r="G274" s="1"/>
  <c r="BT273"/>
  <c r="BS273"/>
  <c r="BR273"/>
  <c r="BQ273"/>
  <c r="BP273"/>
  <c r="BO273"/>
  <c r="BL273" s="1"/>
  <c r="BN273"/>
  <c r="BM273"/>
  <c r="BK273"/>
  <c r="BJ273"/>
  <c r="BI273"/>
  <c r="BH273"/>
  <c r="BG273"/>
  <c r="BF273"/>
  <c r="BE273"/>
  <c r="BD273"/>
  <c r="BC273"/>
  <c r="BB273"/>
  <c r="AX273"/>
  <c r="AW273"/>
  <c r="AV273"/>
  <c r="AC273"/>
  <c r="H273"/>
  <c r="G273"/>
  <c r="BT272"/>
  <c r="BS272"/>
  <c r="BR272"/>
  <c r="BQ272"/>
  <c r="BP272"/>
  <c r="BO272"/>
  <c r="BN272"/>
  <c r="BM272"/>
  <c r="BK272"/>
  <c r="BJ272"/>
  <c r="BI272"/>
  <c r="BH272"/>
  <c r="BG272"/>
  <c r="BF272"/>
  <c r="BE272"/>
  <c r="BD272"/>
  <c r="BC272"/>
  <c r="BB272"/>
  <c r="AX272"/>
  <c r="AW272"/>
  <c r="AV272"/>
  <c r="AC272"/>
  <c r="G272" s="1"/>
  <c r="H272"/>
  <c r="BT271"/>
  <c r="BS271"/>
  <c r="BR271"/>
  <c r="BQ271"/>
  <c r="BP271"/>
  <c r="BO271"/>
  <c r="BN271"/>
  <c r="BM271"/>
  <c r="BL271"/>
  <c r="BK271"/>
  <c r="BJ271"/>
  <c r="BI271"/>
  <c r="BH271"/>
  <c r="BG271"/>
  <c r="BF271"/>
  <c r="BE271"/>
  <c r="BD271"/>
  <c r="BC271"/>
  <c r="BB271"/>
  <c r="AX271"/>
  <c r="AW271"/>
  <c r="AV271"/>
  <c r="AC271"/>
  <c r="H271"/>
  <c r="G271" s="1"/>
  <c r="BT270"/>
  <c r="BS270"/>
  <c r="BR270"/>
  <c r="BQ270"/>
  <c r="BP270"/>
  <c r="BO270"/>
  <c r="BN270"/>
  <c r="BL270" s="1"/>
  <c r="BM270"/>
  <c r="BK270"/>
  <c r="BJ270"/>
  <c r="BI270"/>
  <c r="BH270"/>
  <c r="BG270"/>
  <c r="BF270"/>
  <c r="BE270"/>
  <c r="BD270"/>
  <c r="BC270"/>
  <c r="BB270"/>
  <c r="BA270" s="1"/>
  <c r="AX270"/>
  <c r="AW270"/>
  <c r="AV270"/>
  <c r="AC270"/>
  <c r="H270"/>
  <c r="G270"/>
  <c r="BT269"/>
  <c r="BS269"/>
  <c r="BR269"/>
  <c r="BQ269"/>
  <c r="BP269"/>
  <c r="BO269"/>
  <c r="BN269"/>
  <c r="BM269"/>
  <c r="BK269"/>
  <c r="BJ269"/>
  <c r="BI269"/>
  <c r="BH269"/>
  <c r="BG269"/>
  <c r="BF269"/>
  <c r="BE269"/>
  <c r="BD269"/>
  <c r="BA269" s="1"/>
  <c r="BC269"/>
  <c r="BB269"/>
  <c r="AX269"/>
  <c r="AW269"/>
  <c r="AV269"/>
  <c r="AC269"/>
  <c r="G269" s="1"/>
  <c r="H269"/>
  <c r="BT268"/>
  <c r="BS268"/>
  <c r="BL268" s="1"/>
  <c r="BR268"/>
  <c r="BQ268"/>
  <c r="BP268"/>
  <c r="BO268"/>
  <c r="BN268"/>
  <c r="BM268"/>
  <c r="BK268"/>
  <c r="BJ268"/>
  <c r="BI268"/>
  <c r="BH268"/>
  <c r="BG268"/>
  <c r="BF268"/>
  <c r="BE268"/>
  <c r="BD268"/>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c r="BT265"/>
  <c r="BS265"/>
  <c r="BR265"/>
  <c r="BQ265"/>
  <c r="BP265"/>
  <c r="BO265"/>
  <c r="BN265"/>
  <c r="BM265"/>
  <c r="BK265"/>
  <c r="BJ265"/>
  <c r="BI265"/>
  <c r="BH265"/>
  <c r="BG265"/>
  <c r="BF265"/>
  <c r="BE265"/>
  <c r="BD265"/>
  <c r="BC265"/>
  <c r="BA265" s="1"/>
  <c r="BB265"/>
  <c r="AX265"/>
  <c r="AW265"/>
  <c r="AV265"/>
  <c r="AC265"/>
  <c r="H265"/>
  <c r="G265" s="1"/>
  <c r="BT264"/>
  <c r="BS264"/>
  <c r="BR264"/>
  <c r="BQ264"/>
  <c r="BP264"/>
  <c r="BO264"/>
  <c r="BN264"/>
  <c r="BM264"/>
  <c r="BL264" s="1"/>
  <c r="BK264"/>
  <c r="BJ264"/>
  <c r="BI264"/>
  <c r="BH264"/>
  <c r="BG264"/>
  <c r="BF264"/>
  <c r="BE264"/>
  <c r="BD264"/>
  <c r="BC264"/>
  <c r="BB264"/>
  <c r="AX264"/>
  <c r="AW264"/>
  <c r="AV264"/>
  <c r="AC264"/>
  <c r="H264"/>
  <c r="G264"/>
  <c r="BT263"/>
  <c r="BS263"/>
  <c r="BR263"/>
  <c r="BQ263"/>
  <c r="BP263"/>
  <c r="BO263"/>
  <c r="BN263"/>
  <c r="BM263"/>
  <c r="BL263" s="1"/>
  <c r="BK263"/>
  <c r="BJ263"/>
  <c r="BI263"/>
  <c r="BH263"/>
  <c r="BA263" s="1"/>
  <c r="BG263"/>
  <c r="BF263"/>
  <c r="BE263"/>
  <c r="BD263"/>
  <c r="BC263"/>
  <c r="BB263"/>
  <c r="AX263"/>
  <c r="AW263"/>
  <c r="AV263"/>
  <c r="AC263"/>
  <c r="H263"/>
  <c r="BT262"/>
  <c r="BS262"/>
  <c r="BR262"/>
  <c r="BQ262"/>
  <c r="BP262"/>
  <c r="BO262"/>
  <c r="BN262"/>
  <c r="BL262" s="1"/>
  <c r="BM262"/>
  <c r="BK262"/>
  <c r="BJ262"/>
  <c r="BI262"/>
  <c r="BH262"/>
  <c r="BG262"/>
  <c r="BF262"/>
  <c r="BE262"/>
  <c r="BD262"/>
  <c r="BC262"/>
  <c r="BB262"/>
  <c r="AX262"/>
  <c r="AW262"/>
  <c r="AV262"/>
  <c r="AC262"/>
  <c r="H262"/>
  <c r="G262" s="1"/>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L260" s="1"/>
  <c r="BN260"/>
  <c r="BM260"/>
  <c r="BK260"/>
  <c r="BJ260"/>
  <c r="BI260"/>
  <c r="BH260"/>
  <c r="BG260"/>
  <c r="BF260"/>
  <c r="BE260"/>
  <c r="BD260"/>
  <c r="BC260"/>
  <c r="BB260"/>
  <c r="AX260"/>
  <c r="AW260"/>
  <c r="AV260"/>
  <c r="AC260"/>
  <c r="H260"/>
  <c r="G260" s="1"/>
  <c r="BT259"/>
  <c r="BS259"/>
  <c r="BR259"/>
  <c r="BQ259"/>
  <c r="BP259"/>
  <c r="BO259"/>
  <c r="BN259"/>
  <c r="BM259"/>
  <c r="BL259" s="1"/>
  <c r="BK259"/>
  <c r="BJ259"/>
  <c r="BI259"/>
  <c r="BH259"/>
  <c r="BG259"/>
  <c r="BF259"/>
  <c r="BE259"/>
  <c r="BD259"/>
  <c r="BC259"/>
  <c r="BB259"/>
  <c r="AX259"/>
  <c r="AW259"/>
  <c r="AV259"/>
  <c r="AC259"/>
  <c r="H259"/>
  <c r="G259"/>
  <c r="BT258"/>
  <c r="BS258"/>
  <c r="BR258"/>
  <c r="BQ258"/>
  <c r="BP258"/>
  <c r="BO258"/>
  <c r="BN258"/>
  <c r="BM258"/>
  <c r="BL258" s="1"/>
  <c r="BK258"/>
  <c r="BJ258"/>
  <c r="BI258"/>
  <c r="BH258"/>
  <c r="BG258"/>
  <c r="BF258"/>
  <c r="BE258"/>
  <c r="BD258"/>
  <c r="BC258"/>
  <c r="BB258"/>
  <c r="AX258"/>
  <c r="AW258"/>
  <c r="AV258"/>
  <c r="AC258"/>
  <c r="G258" s="1"/>
  <c r="H258"/>
  <c r="BT257"/>
  <c r="BS257"/>
  <c r="BR257"/>
  <c r="BQ257"/>
  <c r="BP257"/>
  <c r="BO257"/>
  <c r="BN257"/>
  <c r="BM257"/>
  <c r="BL257"/>
  <c r="BK257"/>
  <c r="BJ257"/>
  <c r="BI257"/>
  <c r="BH257"/>
  <c r="BG257"/>
  <c r="BF257"/>
  <c r="BE257"/>
  <c r="BD257"/>
  <c r="BC257"/>
  <c r="BB257"/>
  <c r="AX257"/>
  <c r="AW257"/>
  <c r="AV257"/>
  <c r="AC257"/>
  <c r="H257"/>
  <c r="G257" s="1"/>
  <c r="BT256"/>
  <c r="BS256"/>
  <c r="BR256"/>
  <c r="BQ256"/>
  <c r="BP256"/>
  <c r="BO256"/>
  <c r="BN256"/>
  <c r="BM256"/>
  <c r="BL256" s="1"/>
  <c r="BK256"/>
  <c r="BJ256"/>
  <c r="BI256"/>
  <c r="BH256"/>
  <c r="BG256"/>
  <c r="BF256"/>
  <c r="BE256"/>
  <c r="BD256"/>
  <c r="BC256"/>
  <c r="BB256"/>
  <c r="BA256" s="1"/>
  <c r="AZ256" s="1"/>
  <c r="AX256"/>
  <c r="AW256"/>
  <c r="AV256"/>
  <c r="AC256"/>
  <c r="H256"/>
  <c r="G256"/>
  <c r="BT255"/>
  <c r="BS255"/>
  <c r="BR255"/>
  <c r="BQ255"/>
  <c r="BP255"/>
  <c r="BO255"/>
  <c r="BN255"/>
  <c r="BM255"/>
  <c r="BK255"/>
  <c r="BJ255"/>
  <c r="BI255"/>
  <c r="BH255"/>
  <c r="BG255"/>
  <c r="BF255"/>
  <c r="BE255"/>
  <c r="BD255"/>
  <c r="BC255"/>
  <c r="BB255"/>
  <c r="AX255"/>
  <c r="AW255"/>
  <c r="AV255"/>
  <c r="AC255"/>
  <c r="H255"/>
  <c r="BT254"/>
  <c r="BS254"/>
  <c r="BR254"/>
  <c r="BQ254"/>
  <c r="BP254"/>
  <c r="BO254"/>
  <c r="BL254" s="1"/>
  <c r="BN254"/>
  <c r="BM254"/>
  <c r="BK254"/>
  <c r="BJ254"/>
  <c r="BI254"/>
  <c r="BH254"/>
  <c r="BG254"/>
  <c r="BF254"/>
  <c r="BE254"/>
  <c r="BD254"/>
  <c r="BC254"/>
  <c r="BB254"/>
  <c r="BA254" s="1"/>
  <c r="AZ254" s="1"/>
  <c r="AX254"/>
  <c r="AW254"/>
  <c r="AV254"/>
  <c r="AC254"/>
  <c r="H254"/>
  <c r="G254" s="1"/>
  <c r="BT253"/>
  <c r="BS253"/>
  <c r="BR253"/>
  <c r="BQ253"/>
  <c r="BP253"/>
  <c r="BO253"/>
  <c r="BN253"/>
  <c r="BM253"/>
  <c r="BL253" s="1"/>
  <c r="BK253"/>
  <c r="BJ253"/>
  <c r="BI253"/>
  <c r="BH253"/>
  <c r="BG253"/>
  <c r="BF253"/>
  <c r="BE253"/>
  <c r="BD253"/>
  <c r="BC253"/>
  <c r="BB253"/>
  <c r="AX253"/>
  <c r="AW253"/>
  <c r="AV253"/>
  <c r="AC253"/>
  <c r="G253" s="1"/>
  <c r="H253"/>
  <c r="BT252"/>
  <c r="BS252"/>
  <c r="BR252"/>
  <c r="BQ252"/>
  <c r="BP252"/>
  <c r="BO252"/>
  <c r="BN252"/>
  <c r="BM252"/>
  <c r="BL252"/>
  <c r="BK252"/>
  <c r="BJ252"/>
  <c r="BI252"/>
  <c r="BH252"/>
  <c r="BG252"/>
  <c r="BF252"/>
  <c r="BE252"/>
  <c r="BD252"/>
  <c r="BC252"/>
  <c r="BB252"/>
  <c r="AX252"/>
  <c r="AW252"/>
  <c r="AV252"/>
  <c r="AC252"/>
  <c r="H252"/>
  <c r="G252" s="1"/>
  <c r="BT251"/>
  <c r="BS251"/>
  <c r="BR251"/>
  <c r="BQ251"/>
  <c r="BP251"/>
  <c r="BO251"/>
  <c r="BN251"/>
  <c r="BM25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AX250"/>
  <c r="AW250"/>
  <c r="AV250"/>
  <c r="AC250"/>
  <c r="G250" s="1"/>
  <c r="H250"/>
  <c r="BT249"/>
  <c r="BS249"/>
  <c r="BR249"/>
  <c r="BQ249"/>
  <c r="BP249"/>
  <c r="BO249"/>
  <c r="BN249"/>
  <c r="BM249"/>
  <c r="BL249"/>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A248" s="1"/>
  <c r="AZ248" s="1"/>
  <c r="BE248"/>
  <c r="BD248"/>
  <c r="BC248"/>
  <c r="BB248"/>
  <c r="AX248"/>
  <c r="AW248"/>
  <c r="AV248"/>
  <c r="AC248"/>
  <c r="H248"/>
  <c r="G248"/>
  <c r="BT247"/>
  <c r="BS247"/>
  <c r="BR247"/>
  <c r="BQ247"/>
  <c r="BP247"/>
  <c r="BO247"/>
  <c r="BN247"/>
  <c r="BM247"/>
  <c r="BL247"/>
  <c r="BK247"/>
  <c r="BJ247"/>
  <c r="BI247"/>
  <c r="BH247"/>
  <c r="BG247"/>
  <c r="BF247"/>
  <c r="BE247"/>
  <c r="BD247"/>
  <c r="BC247"/>
  <c r="BB247"/>
  <c r="BA247" s="1"/>
  <c r="AX247"/>
  <c r="AW247"/>
  <c r="AV247"/>
  <c r="AC247"/>
  <c r="H247"/>
  <c r="G247" s="1"/>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L245" s="1"/>
  <c r="BK245"/>
  <c r="BJ245"/>
  <c r="BI245"/>
  <c r="BH245"/>
  <c r="BG245"/>
  <c r="BF245"/>
  <c r="BE245"/>
  <c r="BD245"/>
  <c r="BC245"/>
  <c r="BB245"/>
  <c r="AX245"/>
  <c r="AW245"/>
  <c r="AV245"/>
  <c r="AC245"/>
  <c r="G245" s="1"/>
  <c r="H245"/>
  <c r="BT244"/>
  <c r="BS244"/>
  <c r="BR244"/>
  <c r="BQ244"/>
  <c r="BP244"/>
  <c r="BO244"/>
  <c r="BN244"/>
  <c r="BM244"/>
  <c r="BL244"/>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BA243"/>
  <c r="AX243"/>
  <c r="AW243"/>
  <c r="AV243"/>
  <c r="AC243"/>
  <c r="H243"/>
  <c r="G243"/>
  <c r="BT242"/>
  <c r="BS242"/>
  <c r="BR242"/>
  <c r="BQ242"/>
  <c r="BP242"/>
  <c r="BO242"/>
  <c r="BN242"/>
  <c r="BL242" s="1"/>
  <c r="BM242"/>
  <c r="BK242"/>
  <c r="BJ242"/>
  <c r="BI242"/>
  <c r="BH242"/>
  <c r="BG242"/>
  <c r="BF242"/>
  <c r="BE242"/>
  <c r="BD242"/>
  <c r="BC242"/>
  <c r="BB242"/>
  <c r="BA242" s="1"/>
  <c r="AZ242" s="1"/>
  <c r="AX242"/>
  <c r="AW242"/>
  <c r="AV242"/>
  <c r="AC242"/>
  <c r="H242"/>
  <c r="G242"/>
  <c r="BT241"/>
  <c r="BS241"/>
  <c r="BR241"/>
  <c r="BQ241"/>
  <c r="BP241"/>
  <c r="BO241"/>
  <c r="BL241" s="1"/>
  <c r="BN241"/>
  <c r="BM241"/>
  <c r="BK241"/>
  <c r="BJ241"/>
  <c r="BI241"/>
  <c r="BH241"/>
  <c r="BG241"/>
  <c r="BF241"/>
  <c r="BE241"/>
  <c r="BD241"/>
  <c r="BC241"/>
  <c r="BB241"/>
  <c r="AX241"/>
  <c r="AW241"/>
  <c r="AV241"/>
  <c r="AC241"/>
  <c r="H241"/>
  <c r="G241"/>
  <c r="BT240"/>
  <c r="BS240"/>
  <c r="BR240"/>
  <c r="BQ240"/>
  <c r="BP240"/>
  <c r="BO240"/>
  <c r="BN240"/>
  <c r="BM240"/>
  <c r="BK240"/>
  <c r="BJ240"/>
  <c r="BI240"/>
  <c r="BH240"/>
  <c r="BG240"/>
  <c r="BF240"/>
  <c r="BE240"/>
  <c r="BD240"/>
  <c r="BC240"/>
  <c r="BB240"/>
  <c r="AX240"/>
  <c r="AW240"/>
  <c r="AV240"/>
  <c r="AC240"/>
  <c r="H240"/>
  <c r="G240"/>
  <c r="BT239"/>
  <c r="BS239"/>
  <c r="BR239"/>
  <c r="BQ239"/>
  <c r="BP239"/>
  <c r="BO239"/>
  <c r="BN239"/>
  <c r="BM239"/>
  <c r="BL239"/>
  <c r="BK239"/>
  <c r="BJ239"/>
  <c r="BI239"/>
  <c r="BH239"/>
  <c r="BG239"/>
  <c r="BF239"/>
  <c r="BE239"/>
  <c r="BA239" s="1"/>
  <c r="BD239"/>
  <c r="BC239"/>
  <c r="BB239"/>
  <c r="AX239"/>
  <c r="AW239"/>
  <c r="AV239"/>
  <c r="AC239"/>
  <c r="H239"/>
  <c r="BT238"/>
  <c r="BS238"/>
  <c r="BL238" s="1"/>
  <c r="BR238"/>
  <c r="BQ238"/>
  <c r="BP238"/>
  <c r="BO238"/>
  <c r="BN238"/>
  <c r="BM238"/>
  <c r="BK238"/>
  <c r="BJ238"/>
  <c r="BI238"/>
  <c r="BH238"/>
  <c r="BG238"/>
  <c r="BF238"/>
  <c r="BE238"/>
  <c r="BD238"/>
  <c r="BC238"/>
  <c r="BB238"/>
  <c r="AX238"/>
  <c r="AW238"/>
  <c r="AV238"/>
  <c r="AC238"/>
  <c r="H238"/>
  <c r="G238" s="1"/>
  <c r="BT237"/>
  <c r="BS237"/>
  <c r="BR237"/>
  <c r="BQ237"/>
  <c r="BP237"/>
  <c r="BO237"/>
  <c r="BN237"/>
  <c r="BM237"/>
  <c r="BK237"/>
  <c r="BJ237"/>
  <c r="BA237" s="1"/>
  <c r="BI237"/>
  <c r="BH237"/>
  <c r="BG237"/>
  <c r="BF237"/>
  <c r="BE237"/>
  <c r="BD237"/>
  <c r="BC237"/>
  <c r="BB237"/>
  <c r="AX237"/>
  <c r="AW237"/>
  <c r="AV237"/>
  <c r="AC237"/>
  <c r="H237"/>
  <c r="G237"/>
  <c r="BT236"/>
  <c r="BS236"/>
  <c r="BR236"/>
  <c r="BQ236"/>
  <c r="BP236"/>
  <c r="BO236"/>
  <c r="BN236"/>
  <c r="BM236"/>
  <c r="BL236"/>
  <c r="BK236"/>
  <c r="BJ236"/>
  <c r="BI236"/>
  <c r="BH236"/>
  <c r="BG236"/>
  <c r="BF236"/>
  <c r="BE236"/>
  <c r="BD236"/>
  <c r="BC236"/>
  <c r="BA236" s="1"/>
  <c r="BB236"/>
  <c r="AX236"/>
  <c r="AW236"/>
  <c r="AV236"/>
  <c r="AC236"/>
  <c r="H236"/>
  <c r="G236" s="1"/>
  <c r="BT235"/>
  <c r="BS235"/>
  <c r="BR235"/>
  <c r="BQ235"/>
  <c r="BP235"/>
  <c r="BO235"/>
  <c r="BN235"/>
  <c r="BM235"/>
  <c r="BK235"/>
  <c r="BJ235"/>
  <c r="BI235"/>
  <c r="BH235"/>
  <c r="BG235"/>
  <c r="BF235"/>
  <c r="BE235"/>
  <c r="BD235"/>
  <c r="BC235"/>
  <c r="BB235"/>
  <c r="AX235"/>
  <c r="AW235"/>
  <c r="AV235"/>
  <c r="AC235"/>
  <c r="H235"/>
  <c r="G235" s="1"/>
  <c r="BT234"/>
  <c r="BS234"/>
  <c r="BR234"/>
  <c r="BQ234"/>
  <c r="BP234"/>
  <c r="BO234"/>
  <c r="BN234"/>
  <c r="BM234"/>
  <c r="BL234"/>
  <c r="AZ234" s="1"/>
  <c r="BK234"/>
  <c r="BJ234"/>
  <c r="BI234"/>
  <c r="BH234"/>
  <c r="BG234"/>
  <c r="BF234"/>
  <c r="BE234"/>
  <c r="BD234"/>
  <c r="BC234"/>
  <c r="BB234"/>
  <c r="BA234" s="1"/>
  <c r="AX234"/>
  <c r="AW234"/>
  <c r="AV234"/>
  <c r="AC234"/>
  <c r="G234" s="1"/>
  <c r="H234"/>
  <c r="BT233"/>
  <c r="BS233"/>
  <c r="BR233"/>
  <c r="BQ233"/>
  <c r="BP233"/>
  <c r="BO233"/>
  <c r="BN233"/>
  <c r="BM233"/>
  <c r="BL233" s="1"/>
  <c r="BK233"/>
  <c r="BJ233"/>
  <c r="BI233"/>
  <c r="BH233"/>
  <c r="BG233"/>
  <c r="BF233"/>
  <c r="BE233"/>
  <c r="BD233"/>
  <c r="BC233"/>
  <c r="BA233" s="1"/>
  <c r="BB233"/>
  <c r="AX233"/>
  <c r="AW233"/>
  <c r="AV233"/>
  <c r="AC233"/>
  <c r="H233"/>
  <c r="G233" s="1"/>
  <c r="BT232"/>
  <c r="BS232"/>
  <c r="BR232"/>
  <c r="BQ232"/>
  <c r="BP232"/>
  <c r="BO232"/>
  <c r="BN232"/>
  <c r="BM232"/>
  <c r="BK232"/>
  <c r="BJ232"/>
  <c r="BI232"/>
  <c r="BH232"/>
  <c r="BG232"/>
  <c r="BF232"/>
  <c r="BE232"/>
  <c r="BD232"/>
  <c r="BC232"/>
  <c r="BB232"/>
  <c r="BA232" s="1"/>
  <c r="AX232"/>
  <c r="AW232"/>
  <c r="AV232"/>
  <c r="AC232"/>
  <c r="H232"/>
  <c r="G232" s="1"/>
  <c r="BT231"/>
  <c r="BS231"/>
  <c r="BR231"/>
  <c r="BQ231"/>
  <c r="BP231"/>
  <c r="BO231"/>
  <c r="BN231"/>
  <c r="BM231"/>
  <c r="BK231"/>
  <c r="BJ231"/>
  <c r="BI231"/>
  <c r="BH231"/>
  <c r="BG231"/>
  <c r="BF231"/>
  <c r="BE231"/>
  <c r="BD231"/>
  <c r="BC231"/>
  <c r="BB231"/>
  <c r="BA231" s="1"/>
  <c r="AX231"/>
  <c r="AW231"/>
  <c r="AV231"/>
  <c r="AC231"/>
  <c r="H231"/>
  <c r="BT230"/>
  <c r="BS230"/>
  <c r="BR230"/>
  <c r="BQ230"/>
  <c r="BP230"/>
  <c r="BO230"/>
  <c r="BL230" s="1"/>
  <c r="BN230"/>
  <c r="BM230"/>
  <c r="BK230"/>
  <c r="BJ230"/>
  <c r="BI230"/>
  <c r="BH230"/>
  <c r="BG230"/>
  <c r="BF230"/>
  <c r="BE230"/>
  <c r="BD230"/>
  <c r="BC230"/>
  <c r="BB230"/>
  <c r="AX230"/>
  <c r="AW230"/>
  <c r="AV230"/>
  <c r="AC230"/>
  <c r="H230"/>
  <c r="G230"/>
  <c r="BT229"/>
  <c r="BS229"/>
  <c r="BR229"/>
  <c r="BQ229"/>
  <c r="BP229"/>
  <c r="BO229"/>
  <c r="BN229"/>
  <c r="BM229"/>
  <c r="BK229"/>
  <c r="BJ229"/>
  <c r="BI229"/>
  <c r="BH229"/>
  <c r="BG229"/>
  <c r="BF229"/>
  <c r="BE229"/>
  <c r="BD229"/>
  <c r="BC229"/>
  <c r="BB229"/>
  <c r="BA229" s="1"/>
  <c r="AX229"/>
  <c r="AW229"/>
  <c r="AV229"/>
  <c r="AC229"/>
  <c r="G229" s="1"/>
  <c r="H229"/>
  <c r="BT228"/>
  <c r="BS228"/>
  <c r="BR228"/>
  <c r="BQ228"/>
  <c r="BP228"/>
  <c r="BO228"/>
  <c r="BN228"/>
  <c r="BM228"/>
  <c r="BL228" s="1"/>
  <c r="BK228"/>
  <c r="BJ228"/>
  <c r="BI228"/>
  <c r="BH228"/>
  <c r="BA228" s="1"/>
  <c r="BG228"/>
  <c r="BF228"/>
  <c r="BE228"/>
  <c r="BD228"/>
  <c r="BC228"/>
  <c r="BB228"/>
  <c r="AX228"/>
  <c r="AW228"/>
  <c r="AV228"/>
  <c r="AC228"/>
  <c r="H228"/>
  <c r="G228" s="1"/>
  <c r="BT227"/>
  <c r="BS227"/>
  <c r="BR227"/>
  <c r="BQ227"/>
  <c r="BP227"/>
  <c r="BO227"/>
  <c r="BN227"/>
  <c r="BM227"/>
  <c r="BK227"/>
  <c r="BJ227"/>
  <c r="BI227"/>
  <c r="BH227"/>
  <c r="BG227"/>
  <c r="BF227"/>
  <c r="BE227"/>
  <c r="BD227"/>
  <c r="BC227"/>
  <c r="BB227"/>
  <c r="BA227"/>
  <c r="AX227"/>
  <c r="AW227"/>
  <c r="AV227"/>
  <c r="AC227"/>
  <c r="H227"/>
  <c r="G227" s="1"/>
  <c r="BT226"/>
  <c r="BS226"/>
  <c r="BR226"/>
  <c r="BQ226"/>
  <c r="BP226"/>
  <c r="BO226"/>
  <c r="BN226"/>
  <c r="BM226"/>
  <c r="BL226" s="1"/>
  <c r="BK226"/>
  <c r="BJ226"/>
  <c r="BI226"/>
  <c r="BH226"/>
  <c r="BG226"/>
  <c r="BF226"/>
  <c r="BE226"/>
  <c r="BD226"/>
  <c r="BC226"/>
  <c r="BB226"/>
  <c r="AX226"/>
  <c r="AW226"/>
  <c r="AV226"/>
  <c r="AC226"/>
  <c r="G226" s="1"/>
  <c r="H226"/>
  <c r="BT225"/>
  <c r="BS225"/>
  <c r="BR225"/>
  <c r="BQ225"/>
  <c r="BP225"/>
  <c r="BO225"/>
  <c r="BN225"/>
  <c r="BM225"/>
  <c r="BL225" s="1"/>
  <c r="BK225"/>
  <c r="BJ225"/>
  <c r="BI225"/>
  <c r="BH225"/>
  <c r="BG225"/>
  <c r="BF225"/>
  <c r="BE225"/>
  <c r="BD225"/>
  <c r="BC225"/>
  <c r="BB225"/>
  <c r="AX225"/>
  <c r="AW225"/>
  <c r="AV225"/>
  <c r="AC225"/>
  <c r="H225"/>
  <c r="G225" s="1"/>
  <c r="BT224"/>
  <c r="BS224"/>
  <c r="BR224"/>
  <c r="BQ224"/>
  <c r="BP224"/>
  <c r="BO224"/>
  <c r="BN224"/>
  <c r="BM224"/>
  <c r="BL224" s="1"/>
  <c r="BK224"/>
  <c r="BJ224"/>
  <c r="BI224"/>
  <c r="BH224"/>
  <c r="BG224"/>
  <c r="BF224"/>
  <c r="BE224"/>
  <c r="BD224"/>
  <c r="BC224"/>
  <c r="BB224"/>
  <c r="BA224" s="1"/>
  <c r="AX224"/>
  <c r="AW224"/>
  <c r="AV224"/>
  <c r="AC224"/>
  <c r="H224"/>
  <c r="G224" s="1"/>
  <c r="BT223"/>
  <c r="BS223"/>
  <c r="BR223"/>
  <c r="BQ223"/>
  <c r="BP223"/>
  <c r="BO223"/>
  <c r="BN223"/>
  <c r="BM223"/>
  <c r="BL223" s="1"/>
  <c r="BK223"/>
  <c r="BJ223"/>
  <c r="BI223"/>
  <c r="BH223"/>
  <c r="BG223"/>
  <c r="BF223"/>
  <c r="BE223"/>
  <c r="BD223"/>
  <c r="BC223"/>
  <c r="BB223"/>
  <c r="BA223" s="1"/>
  <c r="AX223"/>
  <c r="AW223"/>
  <c r="AV223"/>
  <c r="AC223"/>
  <c r="H223"/>
  <c r="BT222"/>
  <c r="BS222"/>
  <c r="BR222"/>
  <c r="BQ222"/>
  <c r="BP222"/>
  <c r="BO222"/>
  <c r="BN222"/>
  <c r="BL222" s="1"/>
  <c r="BM222"/>
  <c r="BK222"/>
  <c r="BJ222"/>
  <c r="BI222"/>
  <c r="BH222"/>
  <c r="BG222"/>
  <c r="BF222"/>
  <c r="BE222"/>
  <c r="BD222"/>
  <c r="BC222"/>
  <c r="BB222"/>
  <c r="AX222"/>
  <c r="AW222"/>
  <c r="AV222"/>
  <c r="AC222"/>
  <c r="H222"/>
  <c r="G222" s="1"/>
  <c r="BT221"/>
  <c r="BS221"/>
  <c r="BR221"/>
  <c r="BQ221"/>
  <c r="BP221"/>
  <c r="BO221"/>
  <c r="BN221"/>
  <c r="BM221"/>
  <c r="BK221"/>
  <c r="BJ221"/>
  <c r="BI221"/>
  <c r="BH221"/>
  <c r="BG221"/>
  <c r="BF221"/>
  <c r="BE221"/>
  <c r="BD221"/>
  <c r="BC221"/>
  <c r="BB221"/>
  <c r="AX221"/>
  <c r="AW221"/>
  <c r="AV221"/>
  <c r="AC221"/>
  <c r="H221"/>
  <c r="G221"/>
  <c r="BT220"/>
  <c r="BS220"/>
  <c r="BR220"/>
  <c r="BQ220"/>
  <c r="BP220"/>
  <c r="BO220"/>
  <c r="BN220"/>
  <c r="BM220"/>
  <c r="BL220" s="1"/>
  <c r="BK220"/>
  <c r="BJ220"/>
  <c r="BI220"/>
  <c r="BH220"/>
  <c r="BG220"/>
  <c r="BF220"/>
  <c r="BE220"/>
  <c r="BD220"/>
  <c r="BC220"/>
  <c r="BB220"/>
  <c r="AX220"/>
  <c r="AW220"/>
  <c r="AV220"/>
  <c r="AC220"/>
  <c r="H220"/>
  <c r="G220" s="1"/>
  <c r="BT219"/>
  <c r="BS219"/>
  <c r="BL219" s="1"/>
  <c r="BR219"/>
  <c r="BQ219"/>
  <c r="BP219"/>
  <c r="BO219"/>
  <c r="BN219"/>
  <c r="BM219"/>
  <c r="BK219"/>
  <c r="BJ219"/>
  <c r="BI219"/>
  <c r="BH219"/>
  <c r="BG219"/>
  <c r="BF219"/>
  <c r="BE219"/>
  <c r="BD219"/>
  <c r="BC219"/>
  <c r="BB219"/>
  <c r="AX219"/>
  <c r="AW219"/>
  <c r="AV219"/>
  <c r="AC219"/>
  <c r="H219"/>
  <c r="G219" s="1"/>
  <c r="BT218"/>
  <c r="BS218"/>
  <c r="BR218"/>
  <c r="BQ218"/>
  <c r="BP218"/>
  <c r="BO218"/>
  <c r="BN218"/>
  <c r="BM218"/>
  <c r="BL218" s="1"/>
  <c r="BK218"/>
  <c r="BJ218"/>
  <c r="BI218"/>
  <c r="BH218"/>
  <c r="BG218"/>
  <c r="BF218"/>
  <c r="BE218"/>
  <c r="BD218"/>
  <c r="BC218"/>
  <c r="BA218" s="1"/>
  <c r="AZ218" s="1"/>
  <c r="BB218"/>
  <c r="AX218"/>
  <c r="AW218"/>
  <c r="AV218"/>
  <c r="AC218"/>
  <c r="H218"/>
  <c r="G218"/>
  <c r="BT217"/>
  <c r="BS217"/>
  <c r="BR217"/>
  <c r="BQ217"/>
  <c r="BP217"/>
  <c r="BO217"/>
  <c r="BN217"/>
  <c r="BM217"/>
  <c r="BL217" s="1"/>
  <c r="BK217"/>
  <c r="BJ217"/>
  <c r="BI217"/>
  <c r="BH217"/>
  <c r="BG217"/>
  <c r="BF217"/>
  <c r="BE217"/>
  <c r="BD217"/>
  <c r="BC217"/>
  <c r="BB217"/>
  <c r="BA217"/>
  <c r="AX217"/>
  <c r="AW217"/>
  <c r="AV217"/>
  <c r="AC217"/>
  <c r="H217"/>
  <c r="G217" s="1"/>
  <c r="BT216"/>
  <c r="BS216"/>
  <c r="BR216"/>
  <c r="BQ216"/>
  <c r="BP216"/>
  <c r="BO216"/>
  <c r="BN216"/>
  <c r="BM216"/>
  <c r="BK216"/>
  <c r="BJ216"/>
  <c r="BI216"/>
  <c r="BH216"/>
  <c r="BG216"/>
  <c r="BF216"/>
  <c r="BE216"/>
  <c r="BD216"/>
  <c r="BC216"/>
  <c r="BB216"/>
  <c r="BA216" s="1"/>
  <c r="AX216"/>
  <c r="AW216"/>
  <c r="AV216"/>
  <c r="AC216"/>
  <c r="H216"/>
  <c r="G216" s="1"/>
  <c r="BT215"/>
  <c r="BS215"/>
  <c r="BR215"/>
  <c r="BQ215"/>
  <c r="BP215"/>
  <c r="BO215"/>
  <c r="BN215"/>
  <c r="BM215"/>
  <c r="BL215" s="1"/>
  <c r="BK215"/>
  <c r="BJ215"/>
  <c r="BI215"/>
  <c r="BH215"/>
  <c r="BG215"/>
  <c r="BF215"/>
  <c r="BE215"/>
  <c r="BD215"/>
  <c r="BC215"/>
  <c r="BB215"/>
  <c r="BA215" s="1"/>
  <c r="AX215"/>
  <c r="AW215"/>
  <c r="AV215"/>
  <c r="AC215"/>
  <c r="H215"/>
  <c r="G215" s="1"/>
  <c r="BT214"/>
  <c r="BS214"/>
  <c r="BR214"/>
  <c r="BQ214"/>
  <c r="BP214"/>
  <c r="BO214"/>
  <c r="BN214"/>
  <c r="BM214"/>
  <c r="BL214" s="1"/>
  <c r="BK214"/>
  <c r="BJ214"/>
  <c r="BA214" s="1"/>
  <c r="AZ214" s="1"/>
  <c r="BI214"/>
  <c r="BH214"/>
  <c r="BG214"/>
  <c r="BF214"/>
  <c r="BE214"/>
  <c r="BD214"/>
  <c r="BC214"/>
  <c r="BB214"/>
  <c r="AX214"/>
  <c r="AW214"/>
  <c r="AV214"/>
  <c r="AC214"/>
  <c r="H214"/>
  <c r="BT213"/>
  <c r="BS213"/>
  <c r="BL213" s="1"/>
  <c r="BR213"/>
  <c r="BQ213"/>
  <c r="BP213"/>
  <c r="BO213"/>
  <c r="BN213"/>
  <c r="BM213"/>
  <c r="BK213"/>
  <c r="BJ213"/>
  <c r="BI213"/>
  <c r="BH213"/>
  <c r="BG213"/>
  <c r="BF213"/>
  <c r="BE213"/>
  <c r="BD213"/>
  <c r="BC213"/>
  <c r="BB213"/>
  <c r="BA213" s="1"/>
  <c r="AX213"/>
  <c r="AW213"/>
  <c r="AV213"/>
  <c r="AC213"/>
  <c r="H213"/>
  <c r="G213"/>
  <c r="BT212"/>
  <c r="BS212"/>
  <c r="BR212"/>
  <c r="BQ212"/>
  <c r="BP212"/>
  <c r="BO212"/>
  <c r="BN212"/>
  <c r="BL212" s="1"/>
  <c r="BM212"/>
  <c r="BK212"/>
  <c r="BJ212"/>
  <c r="BI212"/>
  <c r="BH212"/>
  <c r="BG212"/>
  <c r="BF212"/>
  <c r="BE212"/>
  <c r="BD212"/>
  <c r="BC212"/>
  <c r="BB212"/>
  <c r="BA212" s="1"/>
  <c r="AX212"/>
  <c r="AW212"/>
  <c r="AV212"/>
  <c r="AC212"/>
  <c r="H212"/>
  <c r="BT211"/>
  <c r="BS211"/>
  <c r="BR211"/>
  <c r="BQ211"/>
  <c r="BP211"/>
  <c r="BO211"/>
  <c r="BN211"/>
  <c r="BM211"/>
  <c r="BK211"/>
  <c r="BJ211"/>
  <c r="BI211"/>
  <c r="BH211"/>
  <c r="BG211"/>
  <c r="BF211"/>
  <c r="BE211"/>
  <c r="BD211"/>
  <c r="BC211"/>
  <c r="BB211"/>
  <c r="AX211"/>
  <c r="AW211"/>
  <c r="AV211"/>
  <c r="AC211"/>
  <c r="H211"/>
  <c r="G211" s="1"/>
  <c r="BT210"/>
  <c r="BS210"/>
  <c r="BR210"/>
  <c r="BQ210"/>
  <c r="BP210"/>
  <c r="BO210"/>
  <c r="BN210"/>
  <c r="BM210"/>
  <c r="BL210" s="1"/>
  <c r="BK210"/>
  <c r="BJ210"/>
  <c r="BI210"/>
  <c r="BH210"/>
  <c r="BG210"/>
  <c r="BF210"/>
  <c r="BE210"/>
  <c r="BD210"/>
  <c r="BC210"/>
  <c r="BB210"/>
  <c r="AX210"/>
  <c r="AW210"/>
  <c r="AV210"/>
  <c r="AC210"/>
  <c r="H210"/>
  <c r="G210" s="1"/>
  <c r="BT209"/>
  <c r="BS209"/>
  <c r="BR209"/>
  <c r="BQ209"/>
  <c r="BP209"/>
  <c r="BO209"/>
  <c r="BN209"/>
  <c r="BM209"/>
  <c r="BL209" s="1"/>
  <c r="BK209"/>
  <c r="BJ209"/>
  <c r="BI209"/>
  <c r="BH209"/>
  <c r="BG209"/>
  <c r="BF209"/>
  <c r="BE209"/>
  <c r="BD209"/>
  <c r="BC209"/>
  <c r="BB209"/>
  <c r="BA209" s="1"/>
  <c r="AX209"/>
  <c r="AW209"/>
  <c r="AV209"/>
  <c r="AC209"/>
  <c r="H209"/>
  <c r="BT208"/>
  <c r="BS208"/>
  <c r="BR208"/>
  <c r="BQ208"/>
  <c r="BP208"/>
  <c r="BO208"/>
  <c r="BN208"/>
  <c r="BM208"/>
  <c r="BL208" s="1"/>
  <c r="BK208"/>
  <c r="BJ208"/>
  <c r="BI208"/>
  <c r="BH208"/>
  <c r="BG208"/>
  <c r="BF208"/>
  <c r="BE208"/>
  <c r="BD208"/>
  <c r="BC208"/>
  <c r="BB208"/>
  <c r="AX208"/>
  <c r="AW208"/>
  <c r="AV208"/>
  <c r="AC208"/>
  <c r="H208"/>
  <c r="G208"/>
  <c r="BT207"/>
  <c r="BS207"/>
  <c r="BR207"/>
  <c r="BQ207"/>
  <c r="BP207"/>
  <c r="BO207"/>
  <c r="BN207"/>
  <c r="BM207"/>
  <c r="BK207"/>
  <c r="BJ207"/>
  <c r="BI207"/>
  <c r="BH207"/>
  <c r="BG207"/>
  <c r="BF207"/>
  <c r="BE207"/>
  <c r="BD207"/>
  <c r="BC207"/>
  <c r="BB207"/>
  <c r="AX207"/>
  <c r="AW207"/>
  <c r="AV207"/>
  <c r="AC207"/>
  <c r="H207"/>
  <c r="G207" s="1"/>
  <c r="BT206"/>
  <c r="BS206"/>
  <c r="BL206" s="1"/>
  <c r="BR206"/>
  <c r="BQ206"/>
  <c r="BP206"/>
  <c r="BO206"/>
  <c r="BN206"/>
  <c r="BM206"/>
  <c r="BK206"/>
  <c r="BJ206"/>
  <c r="BI206"/>
  <c r="BH206"/>
  <c r="BG206"/>
  <c r="BF206"/>
  <c r="BE206"/>
  <c r="BD206"/>
  <c r="BC206"/>
  <c r="BB206"/>
  <c r="AX206"/>
  <c r="AW206"/>
  <c r="AV206"/>
  <c r="AC206"/>
  <c r="H206"/>
  <c r="G206"/>
  <c r="BT205"/>
  <c r="BS205"/>
  <c r="BR205"/>
  <c r="BQ205"/>
  <c r="BP205"/>
  <c r="BO205"/>
  <c r="BN205"/>
  <c r="BL205" s="1"/>
  <c r="BM205"/>
  <c r="BK205"/>
  <c r="BJ205"/>
  <c r="BI205"/>
  <c r="BH205"/>
  <c r="BG205"/>
  <c r="BF205"/>
  <c r="BE205"/>
  <c r="BD205"/>
  <c r="BC205"/>
  <c r="BB205"/>
  <c r="AX205"/>
  <c r="AW205"/>
  <c r="AV205"/>
  <c r="AC205"/>
  <c r="H205"/>
  <c r="BT388"/>
  <c r="BS388"/>
  <c r="BR388"/>
  <c r="BQ388"/>
  <c r="BP388"/>
  <c r="BO388"/>
  <c r="BN388"/>
  <c r="BM388"/>
  <c r="BL388" s="1"/>
  <c r="BK388"/>
  <c r="BJ388"/>
  <c r="BI388"/>
  <c r="BH388"/>
  <c r="BG388"/>
  <c r="BF388"/>
  <c r="BE388"/>
  <c r="BD388"/>
  <c r="BC388"/>
  <c r="BB388"/>
  <c r="AX388"/>
  <c r="AW388"/>
  <c r="AV388"/>
  <c r="AC388"/>
  <c r="H388"/>
  <c r="BT387"/>
  <c r="BS387"/>
  <c r="BR387"/>
  <c r="BQ387"/>
  <c r="BP387"/>
  <c r="BO387"/>
  <c r="BN387"/>
  <c r="BM387"/>
  <c r="BL387"/>
  <c r="BK387"/>
  <c r="BJ387"/>
  <c r="BI387"/>
  <c r="BH387"/>
  <c r="BG387"/>
  <c r="BF387"/>
  <c r="BE387"/>
  <c r="BD387"/>
  <c r="BC387"/>
  <c r="BB387"/>
  <c r="BA387" s="1"/>
  <c r="AZ387"/>
  <c r="AX387"/>
  <c r="AW387"/>
  <c r="AV387"/>
  <c r="AC387"/>
  <c r="H387"/>
  <c r="G387" s="1"/>
  <c r="BT386"/>
  <c r="BS386"/>
  <c r="BR386"/>
  <c r="BQ386"/>
  <c r="BP386"/>
  <c r="BO386"/>
  <c r="BN386"/>
  <c r="BM386"/>
  <c r="BK386"/>
  <c r="BJ386"/>
  <c r="BI386"/>
  <c r="BH386"/>
  <c r="BG386"/>
  <c r="BF386"/>
  <c r="BE386"/>
  <c r="BD386"/>
  <c r="BC386"/>
  <c r="BB386"/>
  <c r="BA386" s="1"/>
  <c r="AX386"/>
  <c r="AW386"/>
  <c r="AV386"/>
  <c r="AC386"/>
  <c r="H386"/>
  <c r="G386"/>
  <c r="BT385"/>
  <c r="BS385"/>
  <c r="BR385"/>
  <c r="BQ385"/>
  <c r="BP385"/>
  <c r="BL385" s="1"/>
  <c r="BO385"/>
  <c r="BN385"/>
  <c r="BM385"/>
  <c r="BK385"/>
  <c r="BJ385"/>
  <c r="BI385"/>
  <c r="BH385"/>
  <c r="BG385"/>
  <c r="BF385"/>
  <c r="BE385"/>
  <c r="BD385"/>
  <c r="BA385" s="1"/>
  <c r="BC385"/>
  <c r="BB385"/>
  <c r="AX385"/>
  <c r="AW385"/>
  <c r="AV385"/>
  <c r="AC385"/>
  <c r="H385"/>
  <c r="BT384"/>
  <c r="BS384"/>
  <c r="BR384"/>
  <c r="BQ384"/>
  <c r="BP384"/>
  <c r="BO384"/>
  <c r="BN384"/>
  <c r="BM384"/>
  <c r="BL384" s="1"/>
  <c r="BK384"/>
  <c r="BJ384"/>
  <c r="BI384"/>
  <c r="BH384"/>
  <c r="BG384"/>
  <c r="BF384"/>
  <c r="BE384"/>
  <c r="BA384" s="1"/>
  <c r="AZ384" s="1"/>
  <c r="BD384"/>
  <c r="BC384"/>
  <c r="BB384"/>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s="1"/>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s="1"/>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A375" s="1"/>
  <c r="BD375"/>
  <c r="BC375"/>
  <c r="BB375"/>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A371" s="1"/>
  <c r="BB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L369" s="1"/>
  <c r="BO369"/>
  <c r="BN369"/>
  <c r="BM369"/>
  <c r="BK369"/>
  <c r="BJ369"/>
  <c r="BI369"/>
  <c r="BH369"/>
  <c r="BG369"/>
  <c r="BF369"/>
  <c r="BE369"/>
  <c r="BD369"/>
  <c r="BA369" s="1"/>
  <c r="BC369"/>
  <c r="BB369"/>
  <c r="AX369"/>
  <c r="AW369"/>
  <c r="AV369"/>
  <c r="AC369"/>
  <c r="H369"/>
  <c r="BT368"/>
  <c r="BS368"/>
  <c r="BR368"/>
  <c r="BL368" s="1"/>
  <c r="BQ368"/>
  <c r="BP368"/>
  <c r="BO368"/>
  <c r="BN368"/>
  <c r="BM368"/>
  <c r="BK368"/>
  <c r="BJ368"/>
  <c r="BI368"/>
  <c r="BH368"/>
  <c r="BG368"/>
  <c r="BF368"/>
  <c r="BE368"/>
  <c r="BA368" s="1"/>
  <c r="AZ368" s="1"/>
  <c r="BD368"/>
  <c r="BC368"/>
  <c r="BB368"/>
  <c r="AX368"/>
  <c r="AW368"/>
  <c r="AV368"/>
  <c r="AC368"/>
  <c r="H368"/>
  <c r="BT367"/>
  <c r="BS367"/>
  <c r="BR367"/>
  <c r="BQ367"/>
  <c r="BP367"/>
  <c r="BO367"/>
  <c r="BN367"/>
  <c r="BM367"/>
  <c r="BK367"/>
  <c r="BJ367"/>
  <c r="BI367"/>
  <c r="BH367"/>
  <c r="BG367"/>
  <c r="BA367" s="1"/>
  <c r="BF367"/>
  <c r="BE367"/>
  <c r="BD367"/>
  <c r="BC367"/>
  <c r="BB367"/>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s="1"/>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K351"/>
  <c r="BJ351"/>
  <c r="BA351" s="1"/>
  <c r="BI351"/>
  <c r="BH351"/>
  <c r="BG351"/>
  <c r="BF351"/>
  <c r="BE351"/>
  <c r="BD351"/>
  <c r="BC351"/>
  <c r="BB351"/>
  <c r="AX351"/>
  <c r="AW351"/>
  <c r="AV351"/>
  <c r="AC351"/>
  <c r="H351"/>
  <c r="BT350"/>
  <c r="BS350"/>
  <c r="BR350"/>
  <c r="BQ350"/>
  <c r="BP350"/>
  <c r="BO350"/>
  <c r="BN350"/>
  <c r="BL350" s="1"/>
  <c r="BM350"/>
  <c r="BK350"/>
  <c r="BJ350"/>
  <c r="BI350"/>
  <c r="BH350"/>
  <c r="BG350"/>
  <c r="BF350"/>
  <c r="BE350"/>
  <c r="BD350"/>
  <c r="BC350"/>
  <c r="BB350"/>
  <c r="AX350"/>
  <c r="AW350"/>
  <c r="AV350"/>
  <c r="AC350"/>
  <c r="H350"/>
  <c r="BT349"/>
  <c r="BS349"/>
  <c r="BR349"/>
  <c r="BQ349"/>
  <c r="BP349"/>
  <c r="BO349"/>
  <c r="BN349"/>
  <c r="BM349"/>
  <c r="BK349"/>
  <c r="BJ349"/>
  <c r="BI349"/>
  <c r="BA349" s="1"/>
  <c r="BH349"/>
  <c r="BG349"/>
  <c r="BF349"/>
  <c r="BE349"/>
  <c r="BD349"/>
  <c r="BC349"/>
  <c r="BB349"/>
  <c r="AX349"/>
  <c r="AW349"/>
  <c r="AV349"/>
  <c r="AC349"/>
  <c r="H349"/>
  <c r="G349" s="1"/>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A337" s="1"/>
  <c r="BC337"/>
  <c r="BB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K335"/>
  <c r="BJ335"/>
  <c r="BI335"/>
  <c r="BH335"/>
  <c r="BG335"/>
  <c r="BF335"/>
  <c r="BE335"/>
  <c r="BD335"/>
  <c r="BA335" s="1"/>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K333"/>
  <c r="BJ333"/>
  <c r="BI333"/>
  <c r="BH333"/>
  <c r="BG333"/>
  <c r="BF333"/>
  <c r="BE333"/>
  <c r="BD333"/>
  <c r="BC333"/>
  <c r="BB333"/>
  <c r="AX333"/>
  <c r="AW333"/>
  <c r="AV333"/>
  <c r="AC333"/>
  <c r="H333"/>
  <c r="G333" s="1"/>
  <c r="BT332"/>
  <c r="BL332" s="1"/>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L330" s="1"/>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s="1"/>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K317"/>
  <c r="BJ317"/>
  <c r="BI317"/>
  <c r="BH317"/>
  <c r="BG317"/>
  <c r="BF317"/>
  <c r="BE317"/>
  <c r="BD317"/>
  <c r="BC317"/>
  <c r="BB317"/>
  <c r="AX317"/>
  <c r="AW317"/>
  <c r="AV317"/>
  <c r="AC317"/>
  <c r="H317"/>
  <c r="G317" s="1"/>
  <c r="BT316"/>
  <c r="BS316"/>
  <c r="BL316" s="1"/>
  <c r="BR316"/>
  <c r="BQ316"/>
  <c r="BP316"/>
  <c r="BO316"/>
  <c r="BN316"/>
  <c r="BM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AX315"/>
  <c r="AW315"/>
  <c r="AV315"/>
  <c r="AC315"/>
  <c r="H315"/>
  <c r="G315" s="1"/>
  <c r="BT314"/>
  <c r="BL314" s="1"/>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A311" s="1"/>
  <c r="BG311"/>
  <c r="BF311"/>
  <c r="BE311"/>
  <c r="BD311"/>
  <c r="BC311"/>
  <c r="BB311"/>
  <c r="AX311"/>
  <c r="AW311"/>
  <c r="AV311"/>
  <c r="AC311"/>
  <c r="H311"/>
  <c r="G311" s="1"/>
  <c r="BT310"/>
  <c r="BS310"/>
  <c r="BR310"/>
  <c r="BQ310"/>
  <c r="BP310"/>
  <c r="BO310"/>
  <c r="BN310"/>
  <c r="BM310"/>
  <c r="BL310" s="1"/>
  <c r="BK310"/>
  <c r="BJ310"/>
  <c r="BI310"/>
  <c r="BH310"/>
  <c r="BG310"/>
  <c r="BF310"/>
  <c r="BE310"/>
  <c r="BD310"/>
  <c r="BC310"/>
  <c r="BB310"/>
  <c r="AX310"/>
  <c r="AW310"/>
  <c r="AV310"/>
  <c r="AC310"/>
  <c r="H310"/>
  <c r="BT309"/>
  <c r="BS309"/>
  <c r="BR309"/>
  <c r="BQ309"/>
  <c r="BP309"/>
  <c r="BO309"/>
  <c r="BN309"/>
  <c r="BM309"/>
  <c r="BK309"/>
  <c r="BJ309"/>
  <c r="BI309"/>
  <c r="BA309" s="1"/>
  <c r="BH309"/>
  <c r="BG309"/>
  <c r="BF309"/>
  <c r="BE309"/>
  <c r="BD309"/>
  <c r="BC309"/>
  <c r="BB309"/>
  <c r="AX309"/>
  <c r="AW309"/>
  <c r="AV309"/>
  <c r="AC309"/>
  <c r="H309"/>
  <c r="G309" s="1"/>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A301" s="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AX297"/>
  <c r="AW297"/>
  <c r="AV297"/>
  <c r="AC297"/>
  <c r="H297"/>
  <c r="BT480"/>
  <c r="BS480"/>
  <c r="BR480"/>
  <c r="BL480" s="1"/>
  <c r="BQ480"/>
  <c r="BP480"/>
  <c r="BO480"/>
  <c r="BN480"/>
  <c r="BM480"/>
  <c r="BK480"/>
  <c r="BJ480"/>
  <c r="BI480"/>
  <c r="BH480"/>
  <c r="BG480"/>
  <c r="BF480"/>
  <c r="BE480"/>
  <c r="BD480"/>
  <c r="BC480"/>
  <c r="BB480"/>
  <c r="BA480" s="1"/>
  <c r="AZ480" s="1"/>
  <c r="AX480"/>
  <c r="AW480"/>
  <c r="AV480"/>
  <c r="AC480"/>
  <c r="H480"/>
  <c r="G480" s="1"/>
  <c r="BT479"/>
  <c r="BS479"/>
  <c r="BR479"/>
  <c r="BQ479"/>
  <c r="BP479"/>
  <c r="BO479"/>
  <c r="BN479"/>
  <c r="BM479"/>
  <c r="BL479" s="1"/>
  <c r="BK479"/>
  <c r="BJ479"/>
  <c r="BA479" s="1"/>
  <c r="BI479"/>
  <c r="BH479"/>
  <c r="BG479"/>
  <c r="BF479"/>
  <c r="BE479"/>
  <c r="BD479"/>
  <c r="BC479"/>
  <c r="BB479"/>
  <c r="AX479"/>
  <c r="AW479"/>
  <c r="AV479"/>
  <c r="AC479"/>
  <c r="H479"/>
  <c r="G479" s="1"/>
  <c r="BT478"/>
  <c r="BS478"/>
  <c r="BR478"/>
  <c r="BQ478"/>
  <c r="BP478"/>
  <c r="BO478"/>
  <c r="BN478"/>
  <c r="BM478"/>
  <c r="BL478"/>
  <c r="BK478"/>
  <c r="BJ478"/>
  <c r="BI478"/>
  <c r="BH478"/>
  <c r="BG478"/>
  <c r="BF478"/>
  <c r="BE478"/>
  <c r="BD478"/>
  <c r="BC478"/>
  <c r="BB478"/>
  <c r="BA478" s="1"/>
  <c r="AZ478"/>
  <c r="AX478"/>
  <c r="AW478"/>
  <c r="AV478"/>
  <c r="AC478"/>
  <c r="H478"/>
  <c r="G478" s="1"/>
  <c r="BT477"/>
  <c r="BS477"/>
  <c r="BR477"/>
  <c r="BQ477"/>
  <c r="BP477"/>
  <c r="BO477"/>
  <c r="BN477"/>
  <c r="BM477"/>
  <c r="BL477" s="1"/>
  <c r="BK477"/>
  <c r="BJ477"/>
  <c r="BI477"/>
  <c r="BH477"/>
  <c r="BG477"/>
  <c r="BF477"/>
  <c r="BE477"/>
  <c r="BD477"/>
  <c r="BC477"/>
  <c r="BB477"/>
  <c r="AX477"/>
  <c r="AW477"/>
  <c r="AV477"/>
  <c r="AC477"/>
  <c r="H477"/>
  <c r="G477"/>
  <c r="BT476"/>
  <c r="BS476"/>
  <c r="BR476"/>
  <c r="BQ476"/>
  <c r="BP476"/>
  <c r="BO476"/>
  <c r="BN476"/>
  <c r="BM476"/>
  <c r="BK476"/>
  <c r="BJ476"/>
  <c r="BI476"/>
  <c r="BH476"/>
  <c r="BG476"/>
  <c r="BF476"/>
  <c r="BE476"/>
  <c r="BD476"/>
  <c r="BC476"/>
  <c r="BA476" s="1"/>
  <c r="BB476"/>
  <c r="AX476"/>
  <c r="AW476"/>
  <c r="AV476"/>
  <c r="AC476"/>
  <c r="H476"/>
  <c r="G476" s="1"/>
  <c r="BT475"/>
  <c r="BL475" s="1"/>
  <c r="BS475"/>
  <c r="BR475"/>
  <c r="BQ475"/>
  <c r="BP475"/>
  <c r="BO475"/>
  <c r="BN475"/>
  <c r="BM475"/>
  <c r="BK475"/>
  <c r="BJ475"/>
  <c r="BI475"/>
  <c r="BH475"/>
  <c r="BG475"/>
  <c r="BA475" s="1"/>
  <c r="BF475"/>
  <c r="BE475"/>
  <c r="BD475"/>
  <c r="BC475"/>
  <c r="BB475"/>
  <c r="AX475"/>
  <c r="AW475"/>
  <c r="AV475"/>
  <c r="AC475"/>
  <c r="H475"/>
  <c r="G475" s="1"/>
  <c r="BT474"/>
  <c r="BS474"/>
  <c r="BR474"/>
  <c r="BQ474"/>
  <c r="BP474"/>
  <c r="BO474"/>
  <c r="BN474"/>
  <c r="BM474"/>
  <c r="BL474" s="1"/>
  <c r="BK474"/>
  <c r="BJ474"/>
  <c r="BA474" s="1"/>
  <c r="BI474"/>
  <c r="BH474"/>
  <c r="BG474"/>
  <c r="BF474"/>
  <c r="BE474"/>
  <c r="BD474"/>
  <c r="BC474"/>
  <c r="BB474"/>
  <c r="AX474"/>
  <c r="AW474"/>
  <c r="AV474"/>
  <c r="AC474"/>
  <c r="H474"/>
  <c r="G474" s="1"/>
  <c r="BT473"/>
  <c r="BS473"/>
  <c r="BR473"/>
  <c r="BQ473"/>
  <c r="BP473"/>
  <c r="BO473"/>
  <c r="BN473"/>
  <c r="BM473"/>
  <c r="BL473"/>
  <c r="BK473"/>
  <c r="BJ473"/>
  <c r="BI473"/>
  <c r="BH473"/>
  <c r="BG473"/>
  <c r="BF473"/>
  <c r="BE473"/>
  <c r="BD473"/>
  <c r="BC473"/>
  <c r="BB473"/>
  <c r="BA473" s="1"/>
  <c r="AZ473"/>
  <c r="AX473"/>
  <c r="AW473"/>
  <c r="AV473"/>
  <c r="AC473"/>
  <c r="H473"/>
  <c r="G473" s="1"/>
  <c r="BT472"/>
  <c r="BS472"/>
  <c r="BR472"/>
  <c r="BQ472"/>
  <c r="BP472"/>
  <c r="BO472"/>
  <c r="BN472"/>
  <c r="BM472"/>
  <c r="BK472"/>
  <c r="BJ472"/>
  <c r="BI472"/>
  <c r="BH472"/>
  <c r="BG472"/>
  <c r="BF472"/>
  <c r="BE472"/>
  <c r="BD472"/>
  <c r="BC472"/>
  <c r="BB472"/>
  <c r="BA472" s="1"/>
  <c r="AX472"/>
  <c r="AW472"/>
  <c r="AV472"/>
  <c r="AC472"/>
  <c r="H472"/>
  <c r="G472"/>
  <c r="BT471"/>
  <c r="BS471"/>
  <c r="BR471"/>
  <c r="BQ471"/>
  <c r="BP471"/>
  <c r="BO471"/>
  <c r="BN471"/>
  <c r="BM471"/>
  <c r="BL471" s="1"/>
  <c r="BK471"/>
  <c r="BJ471"/>
  <c r="BI471"/>
  <c r="BH471"/>
  <c r="BG471"/>
  <c r="BF471"/>
  <c r="BE471"/>
  <c r="BD471"/>
  <c r="BC471"/>
  <c r="BB471"/>
  <c r="AX471"/>
  <c r="AW471"/>
  <c r="AV471"/>
  <c r="AC471"/>
  <c r="H471"/>
  <c r="G471" s="1"/>
  <c r="BT470"/>
  <c r="BL470" s="1"/>
  <c r="BS470"/>
  <c r="BR470"/>
  <c r="BQ470"/>
  <c r="BP470"/>
  <c r="BO470"/>
  <c r="BN470"/>
  <c r="BM470"/>
  <c r="BK470"/>
  <c r="BJ470"/>
  <c r="BI470"/>
  <c r="BH470"/>
  <c r="BG470"/>
  <c r="BA470" s="1"/>
  <c r="AZ470" s="1"/>
  <c r="BF470"/>
  <c r="BE470"/>
  <c r="BD470"/>
  <c r="BC470"/>
  <c r="BB470"/>
  <c r="AX470"/>
  <c r="AW470"/>
  <c r="AV470"/>
  <c r="AC470"/>
  <c r="H470"/>
  <c r="BT469"/>
  <c r="BS469"/>
  <c r="BR469"/>
  <c r="BQ469"/>
  <c r="BP469"/>
  <c r="BO469"/>
  <c r="BN469"/>
  <c r="BM469"/>
  <c r="BL469" s="1"/>
  <c r="BK469"/>
  <c r="BJ469"/>
  <c r="BI469"/>
  <c r="BH469"/>
  <c r="BG469"/>
  <c r="BF469"/>
  <c r="BE469"/>
  <c r="BD469"/>
  <c r="BC469"/>
  <c r="BB469"/>
  <c r="AX469"/>
  <c r="AW469"/>
  <c r="AV469"/>
  <c r="AC469"/>
  <c r="G469" s="1"/>
  <c r="H469"/>
  <c r="BT468"/>
  <c r="BS468"/>
  <c r="BR468"/>
  <c r="BQ468"/>
  <c r="BP468"/>
  <c r="BO468"/>
  <c r="BN468"/>
  <c r="BM468"/>
  <c r="BL468" s="1"/>
  <c r="BK468"/>
  <c r="BJ468"/>
  <c r="BI468"/>
  <c r="BH468"/>
  <c r="BG468"/>
  <c r="BF468"/>
  <c r="BE468"/>
  <c r="BD468"/>
  <c r="BC468"/>
  <c r="BB468"/>
  <c r="BA468"/>
  <c r="AX468"/>
  <c r="AW468"/>
  <c r="AV468"/>
  <c r="AC468"/>
  <c r="H468"/>
  <c r="G468"/>
  <c r="BT467"/>
  <c r="BS467"/>
  <c r="BR467"/>
  <c r="BQ467"/>
  <c r="BP467"/>
  <c r="BO467"/>
  <c r="BN467"/>
  <c r="BM467"/>
  <c r="BK467"/>
  <c r="BJ467"/>
  <c r="BI467"/>
  <c r="BH467"/>
  <c r="BG467"/>
  <c r="BF467"/>
  <c r="BE467"/>
  <c r="BD467"/>
  <c r="BC467"/>
  <c r="BB467"/>
  <c r="AX467"/>
  <c r="AW467"/>
  <c r="AV467"/>
  <c r="AC467"/>
  <c r="H467"/>
  <c r="G467"/>
  <c r="BT466"/>
  <c r="BS466"/>
  <c r="BR466"/>
  <c r="BQ466"/>
  <c r="BP466"/>
  <c r="BO466"/>
  <c r="BN466"/>
  <c r="BM466"/>
  <c r="BL466" s="1"/>
  <c r="BK466"/>
  <c r="BJ466"/>
  <c r="BI466"/>
  <c r="BH466"/>
  <c r="BG466"/>
  <c r="BF466"/>
  <c r="BE466"/>
  <c r="BD466"/>
  <c r="BC466"/>
  <c r="BB466"/>
  <c r="AX466"/>
  <c r="AW466"/>
  <c r="AV466"/>
  <c r="AC466"/>
  <c r="H466"/>
  <c r="G466" s="1"/>
  <c r="BT465"/>
  <c r="BL465" s="1"/>
  <c r="BS465"/>
  <c r="BR465"/>
  <c r="BQ465"/>
  <c r="BP465"/>
  <c r="BO465"/>
  <c r="BN465"/>
  <c r="BM465"/>
  <c r="BK465"/>
  <c r="BJ465"/>
  <c r="BI465"/>
  <c r="BH465"/>
  <c r="BG465"/>
  <c r="BF465"/>
  <c r="BE465"/>
  <c r="BD465"/>
  <c r="BC465"/>
  <c r="BB465"/>
  <c r="AX465"/>
  <c r="AW465"/>
  <c r="AV465"/>
  <c r="AC465"/>
  <c r="H465"/>
  <c r="BT464"/>
  <c r="BS464"/>
  <c r="BR464"/>
  <c r="BQ464"/>
  <c r="BP464"/>
  <c r="BO464"/>
  <c r="BN464"/>
  <c r="BM464"/>
  <c r="BL464" s="1"/>
  <c r="BK464"/>
  <c r="BJ464"/>
  <c r="BI464"/>
  <c r="BH464"/>
  <c r="BG464"/>
  <c r="BF464"/>
  <c r="BE464"/>
  <c r="BD464"/>
  <c r="BC464"/>
  <c r="BB464"/>
  <c r="BA464" s="1"/>
  <c r="AZ464" s="1"/>
  <c r="AX464"/>
  <c r="AW464"/>
  <c r="AV464"/>
  <c r="AC464"/>
  <c r="H464"/>
  <c r="G464" s="1"/>
  <c r="BT463"/>
  <c r="BS463"/>
  <c r="BR463"/>
  <c r="BQ463"/>
  <c r="BP463"/>
  <c r="BO463"/>
  <c r="BN463"/>
  <c r="BM463"/>
  <c r="BK463"/>
  <c r="BJ463"/>
  <c r="BI463"/>
  <c r="BH463"/>
  <c r="BG463"/>
  <c r="BF463"/>
  <c r="BE463"/>
  <c r="BD463"/>
  <c r="BC463"/>
  <c r="BB463"/>
  <c r="BA463" s="1"/>
  <c r="AX463"/>
  <c r="AW463"/>
  <c r="AV463"/>
  <c r="AC463"/>
  <c r="H463"/>
  <c r="G463"/>
  <c r="BT462"/>
  <c r="BS462"/>
  <c r="BR462"/>
  <c r="BQ462"/>
  <c r="BP462"/>
  <c r="BO462"/>
  <c r="BN462"/>
  <c r="BM462"/>
  <c r="BK462"/>
  <c r="BJ462"/>
  <c r="BI462"/>
  <c r="BH462"/>
  <c r="BG462"/>
  <c r="BF462"/>
  <c r="BE462"/>
  <c r="BD462"/>
  <c r="BC462"/>
  <c r="BB462"/>
  <c r="AX462"/>
  <c r="AW462"/>
  <c r="AV462"/>
  <c r="AC462"/>
  <c r="H462"/>
  <c r="G462" s="1"/>
  <c r="BT461"/>
  <c r="BS461"/>
  <c r="BR461"/>
  <c r="BL461" s="1"/>
  <c r="BQ461"/>
  <c r="BP461"/>
  <c r="BO461"/>
  <c r="BN461"/>
  <c r="BM461"/>
  <c r="BK461"/>
  <c r="BJ461"/>
  <c r="BI461"/>
  <c r="BH461"/>
  <c r="BG461"/>
  <c r="BF461"/>
  <c r="BE461"/>
  <c r="BD461"/>
  <c r="BC461"/>
  <c r="BB461"/>
  <c r="BA461" s="1"/>
  <c r="AX461"/>
  <c r="AW461"/>
  <c r="AV461"/>
  <c r="AC461"/>
  <c r="H461"/>
  <c r="G461"/>
  <c r="BT460"/>
  <c r="BS460"/>
  <c r="BR460"/>
  <c r="BQ460"/>
  <c r="BP460"/>
  <c r="BO460"/>
  <c r="BN460"/>
  <c r="BM460"/>
  <c r="BL460"/>
  <c r="BK460"/>
  <c r="BJ460"/>
  <c r="BI460"/>
  <c r="BA460" s="1"/>
  <c r="AZ460" s="1"/>
  <c r="BH460"/>
  <c r="BG460"/>
  <c r="BF460"/>
  <c r="BE460"/>
  <c r="BD460"/>
  <c r="BC460"/>
  <c r="BB460"/>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s="1"/>
  <c r="BK458"/>
  <c r="BJ458"/>
  <c r="BI458"/>
  <c r="BH458"/>
  <c r="BG458"/>
  <c r="BF458"/>
  <c r="BE458"/>
  <c r="BD458"/>
  <c r="BC458"/>
  <c r="BB458"/>
  <c r="BA458" s="1"/>
  <c r="AX458"/>
  <c r="AW458"/>
  <c r="AV458"/>
  <c r="AC458"/>
  <c r="H458"/>
  <c r="G458"/>
  <c r="BT457"/>
  <c r="BS457"/>
  <c r="BR457"/>
  <c r="BQ457"/>
  <c r="BP457"/>
  <c r="BO457"/>
  <c r="BN457"/>
  <c r="BM457"/>
  <c r="BK457"/>
  <c r="BJ457"/>
  <c r="BI457"/>
  <c r="BH457"/>
  <c r="BG457"/>
  <c r="BF457"/>
  <c r="BE457"/>
  <c r="BD457"/>
  <c r="BC457"/>
  <c r="BB457"/>
  <c r="BA457" s="1"/>
  <c r="AX457"/>
  <c r="AW457"/>
  <c r="AV457"/>
  <c r="AC457"/>
  <c r="H457"/>
  <c r="G457" s="1"/>
  <c r="BT456"/>
  <c r="BS456"/>
  <c r="BR456"/>
  <c r="BQ456"/>
  <c r="BP456"/>
  <c r="BO456"/>
  <c r="BN456"/>
  <c r="BM456"/>
  <c r="BK456"/>
  <c r="BJ456"/>
  <c r="BI456"/>
  <c r="BH456"/>
  <c r="BG456"/>
  <c r="BF456"/>
  <c r="BE456"/>
  <c r="BD456"/>
  <c r="BC456"/>
  <c r="BB456"/>
  <c r="BA456" s="1"/>
  <c r="AX456"/>
  <c r="AW456"/>
  <c r="AV456"/>
  <c r="AC456"/>
  <c r="H456"/>
  <c r="G456"/>
  <c r="BT455"/>
  <c r="BS455"/>
  <c r="BR455"/>
  <c r="BQ455"/>
  <c r="BP455"/>
  <c r="BO455"/>
  <c r="BN455"/>
  <c r="BM455"/>
  <c r="BL455"/>
  <c r="BK455"/>
  <c r="BJ455"/>
  <c r="BI455"/>
  <c r="BA455" s="1"/>
  <c r="BH455"/>
  <c r="BG455"/>
  <c r="BF455"/>
  <c r="BE455"/>
  <c r="BD455"/>
  <c r="BC455"/>
  <c r="BB455"/>
  <c r="AX455"/>
  <c r="AW455"/>
  <c r="AV455"/>
  <c r="AC455"/>
  <c r="H455"/>
  <c r="BT454"/>
  <c r="BS454"/>
  <c r="BR454"/>
  <c r="BQ454"/>
  <c r="BP454"/>
  <c r="BO454"/>
  <c r="BN454"/>
  <c r="BM454"/>
  <c r="BL454" s="1"/>
  <c r="BK454"/>
  <c r="BJ454"/>
  <c r="BI454"/>
  <c r="BH454"/>
  <c r="BG454"/>
  <c r="BF454"/>
  <c r="BE454"/>
  <c r="BD454"/>
  <c r="BC454"/>
  <c r="BB454"/>
  <c r="BA454" s="1"/>
  <c r="AX454"/>
  <c r="AW454"/>
  <c r="AV454"/>
  <c r="AC454"/>
  <c r="G454" s="1"/>
  <c r="H454"/>
  <c r="BT453"/>
  <c r="BS453"/>
  <c r="BR453"/>
  <c r="BQ453"/>
  <c r="BP453"/>
  <c r="BO453"/>
  <c r="BN453"/>
  <c r="BM453"/>
  <c r="BL453" s="1"/>
  <c r="BK453"/>
  <c r="BJ453"/>
  <c r="BI453"/>
  <c r="BH453"/>
  <c r="BG453"/>
  <c r="BF453"/>
  <c r="BE453"/>
  <c r="BD453"/>
  <c r="BC453"/>
  <c r="BB453"/>
  <c r="BA453"/>
  <c r="AX453"/>
  <c r="AW453"/>
  <c r="AV453"/>
  <c r="AC453"/>
  <c r="H453"/>
  <c r="G453"/>
  <c r="BT452"/>
  <c r="BS452"/>
  <c r="BR452"/>
  <c r="BQ452"/>
  <c r="BP452"/>
  <c r="BO452"/>
  <c r="BN452"/>
  <c r="BL452" s="1"/>
  <c r="BM452"/>
  <c r="BK452"/>
  <c r="BJ452"/>
  <c r="BI452"/>
  <c r="BH452"/>
  <c r="BG452"/>
  <c r="BF452"/>
  <c r="BE452"/>
  <c r="BD452"/>
  <c r="BC452"/>
  <c r="BB452"/>
  <c r="BA452" s="1"/>
  <c r="AX452"/>
  <c r="AW452"/>
  <c r="AV452"/>
  <c r="AC452"/>
  <c r="H452"/>
  <c r="G452"/>
  <c r="BT451"/>
  <c r="BS451"/>
  <c r="BR451"/>
  <c r="BQ451"/>
  <c r="BP451"/>
  <c r="BO451"/>
  <c r="BN451"/>
  <c r="BM451"/>
  <c r="BK451"/>
  <c r="BJ451"/>
  <c r="BI451"/>
  <c r="BH451"/>
  <c r="BG451"/>
  <c r="BF451"/>
  <c r="BE451"/>
  <c r="BD451"/>
  <c r="BC451"/>
  <c r="BB451"/>
  <c r="AX451"/>
  <c r="AW451"/>
  <c r="AV451"/>
  <c r="AC451"/>
  <c r="H451"/>
  <c r="G451"/>
  <c r="BT450"/>
  <c r="BS450"/>
  <c r="BR450"/>
  <c r="BQ450"/>
  <c r="BP450"/>
  <c r="BO450"/>
  <c r="BN450"/>
  <c r="BM450"/>
  <c r="BL450"/>
  <c r="BK450"/>
  <c r="BJ450"/>
  <c r="BI450"/>
  <c r="BA450" s="1"/>
  <c r="BH450"/>
  <c r="BG450"/>
  <c r="BF450"/>
  <c r="BE450"/>
  <c r="BD450"/>
  <c r="BC450"/>
  <c r="BB450"/>
  <c r="AX450"/>
  <c r="AW450"/>
  <c r="AV450"/>
  <c r="AC450"/>
  <c r="H450"/>
  <c r="BT449"/>
  <c r="BS449"/>
  <c r="BR449"/>
  <c r="BQ449"/>
  <c r="BP449"/>
  <c r="BO449"/>
  <c r="BN449"/>
  <c r="BM449"/>
  <c r="BL449" s="1"/>
  <c r="BK449"/>
  <c r="BJ449"/>
  <c r="BI449"/>
  <c r="BH449"/>
  <c r="BG449"/>
  <c r="BF449"/>
  <c r="BE449"/>
  <c r="BD449"/>
  <c r="BC449"/>
  <c r="BB449"/>
  <c r="BA449" s="1"/>
  <c r="AX449"/>
  <c r="AW449"/>
  <c r="AV449"/>
  <c r="AC449"/>
  <c r="G449" s="1"/>
  <c r="H449"/>
  <c r="BT448"/>
  <c r="BS448"/>
  <c r="BR448"/>
  <c r="BQ448"/>
  <c r="BP448"/>
  <c r="BO448"/>
  <c r="BN448"/>
  <c r="BM448"/>
  <c r="BL448" s="1"/>
  <c r="BK448"/>
  <c r="BJ448"/>
  <c r="BI448"/>
  <c r="BH448"/>
  <c r="BG448"/>
  <c r="BF448"/>
  <c r="BE448"/>
  <c r="BD448"/>
  <c r="BC448"/>
  <c r="BB448"/>
  <c r="BA448"/>
  <c r="AX448"/>
  <c r="AW448"/>
  <c r="AV448"/>
  <c r="AC448"/>
  <c r="H448"/>
  <c r="G448"/>
  <c r="BT447"/>
  <c r="BS447"/>
  <c r="BR447"/>
  <c r="BQ447"/>
  <c r="BP447"/>
  <c r="BO447"/>
  <c r="BN447"/>
  <c r="BL447" s="1"/>
  <c r="BM447"/>
  <c r="BK447"/>
  <c r="BJ447"/>
  <c r="BI447"/>
  <c r="BH447"/>
  <c r="BG447"/>
  <c r="BF447"/>
  <c r="BE447"/>
  <c r="BD447"/>
  <c r="BC447"/>
  <c r="BB447"/>
  <c r="BA447" s="1"/>
  <c r="AX447"/>
  <c r="AW447"/>
  <c r="AV447"/>
  <c r="AC447"/>
  <c r="H447"/>
  <c r="G447" s="1"/>
  <c r="BT446"/>
  <c r="BS446"/>
  <c r="BR446"/>
  <c r="BL446" s="1"/>
  <c r="BQ446"/>
  <c r="BP446"/>
  <c r="BO446"/>
  <c r="BN446"/>
  <c r="BM446"/>
  <c r="BK446"/>
  <c r="BJ446"/>
  <c r="BI446"/>
  <c r="BH446"/>
  <c r="BG446"/>
  <c r="BF446"/>
  <c r="BE446"/>
  <c r="BD446"/>
  <c r="BC446"/>
  <c r="BB446"/>
  <c r="BA446" s="1"/>
  <c r="AX446"/>
  <c r="AW446"/>
  <c r="AV446"/>
  <c r="AC446"/>
  <c r="H446"/>
  <c r="G446"/>
  <c r="BT445"/>
  <c r="BS445"/>
  <c r="BR445"/>
  <c r="BQ445"/>
  <c r="BP445"/>
  <c r="BO445"/>
  <c r="BN445"/>
  <c r="BM445"/>
  <c r="BL445"/>
  <c r="BK445"/>
  <c r="BJ445"/>
  <c r="BI445"/>
  <c r="BA445" s="1"/>
  <c r="AZ445" s="1"/>
  <c r="BH445"/>
  <c r="BG445"/>
  <c r="BF445"/>
  <c r="BE445"/>
  <c r="BD445"/>
  <c r="BC445"/>
  <c r="BB445"/>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c r="BT443"/>
  <c r="BS443"/>
  <c r="BR443"/>
  <c r="BQ443"/>
  <c r="BP443"/>
  <c r="BO443"/>
  <c r="BN443"/>
  <c r="BM443"/>
  <c r="BK443"/>
  <c r="BJ443"/>
  <c r="BI443"/>
  <c r="BH443"/>
  <c r="BG443"/>
  <c r="BF443"/>
  <c r="BE443"/>
  <c r="BD443"/>
  <c r="BC443"/>
  <c r="BB443"/>
  <c r="BA443" s="1"/>
  <c r="AX443"/>
  <c r="AW443"/>
  <c r="AV443"/>
  <c r="AC443"/>
  <c r="H443"/>
  <c r="G443"/>
  <c r="BT442"/>
  <c r="BS442"/>
  <c r="BR442"/>
  <c r="BQ442"/>
  <c r="BP442"/>
  <c r="BO442"/>
  <c r="BL442" s="1"/>
  <c r="BN442"/>
  <c r="BM442"/>
  <c r="BK442"/>
  <c r="BJ442"/>
  <c r="BI442"/>
  <c r="BH442"/>
  <c r="BG442"/>
  <c r="BF442"/>
  <c r="BE442"/>
  <c r="BD442"/>
  <c r="BC442"/>
  <c r="BB442"/>
  <c r="AX442"/>
  <c r="AW442"/>
  <c r="AV442"/>
  <c r="AC442"/>
  <c r="H442"/>
  <c r="G442" s="1"/>
  <c r="BT441"/>
  <c r="BS441"/>
  <c r="BR441"/>
  <c r="BL441" s="1"/>
  <c r="BQ441"/>
  <c r="BP441"/>
  <c r="BO441"/>
  <c r="BN441"/>
  <c r="BM441"/>
  <c r="BK441"/>
  <c r="BJ441"/>
  <c r="BI441"/>
  <c r="BH441"/>
  <c r="BG441"/>
  <c r="BF441"/>
  <c r="BE441"/>
  <c r="BD441"/>
  <c r="BC441"/>
  <c r="BB441"/>
  <c r="AX441"/>
  <c r="AW441"/>
  <c r="AV441"/>
  <c r="AC441"/>
  <c r="H441"/>
  <c r="G441"/>
  <c r="BT440"/>
  <c r="BS440"/>
  <c r="BR440"/>
  <c r="BQ440"/>
  <c r="BP440"/>
  <c r="BO440"/>
  <c r="BN440"/>
  <c r="BM440"/>
  <c r="BL440"/>
  <c r="BK440"/>
  <c r="BJ440"/>
  <c r="BI440"/>
  <c r="BA440" s="1"/>
  <c r="BH440"/>
  <c r="BG440"/>
  <c r="BF440"/>
  <c r="BE440"/>
  <c r="BD440"/>
  <c r="BC440"/>
  <c r="BB440"/>
  <c r="AZ440"/>
  <c r="AX440"/>
  <c r="AW440"/>
  <c r="AV440"/>
  <c r="AC440"/>
  <c r="H440"/>
  <c r="G440" s="1"/>
  <c r="BT439"/>
  <c r="BS439"/>
  <c r="BR439"/>
  <c r="BQ439"/>
  <c r="BP439"/>
  <c r="BO439"/>
  <c r="BL439" s="1"/>
  <c r="BN439"/>
  <c r="BM439"/>
  <c r="BK439"/>
  <c r="BJ439"/>
  <c r="BI439"/>
  <c r="BH439"/>
  <c r="BG439"/>
  <c r="BF439"/>
  <c r="BE439"/>
  <c r="BD439"/>
  <c r="BC439"/>
  <c r="BB439"/>
  <c r="BA439" s="1"/>
  <c r="AX439"/>
  <c r="AW439"/>
  <c r="AV439"/>
  <c r="AC439"/>
  <c r="H439"/>
  <c r="G439"/>
  <c r="BT438"/>
  <c r="BS438"/>
  <c r="BR438"/>
  <c r="BQ438"/>
  <c r="BP438"/>
  <c r="BO438"/>
  <c r="BN438"/>
  <c r="BM438"/>
  <c r="BL438" s="1"/>
  <c r="BK438"/>
  <c r="BJ438"/>
  <c r="BI438"/>
  <c r="BH438"/>
  <c r="BG438"/>
  <c r="BF438"/>
  <c r="BE438"/>
  <c r="BD438"/>
  <c r="BC438"/>
  <c r="BB438"/>
  <c r="BA438" s="1"/>
  <c r="AX438"/>
  <c r="AW438"/>
  <c r="AV438"/>
  <c r="AC438"/>
  <c r="H438"/>
  <c r="G438"/>
  <c r="BT437"/>
  <c r="BS437"/>
  <c r="BR437"/>
  <c r="BQ437"/>
  <c r="BP437"/>
  <c r="BO437"/>
  <c r="BN437"/>
  <c r="BM437"/>
  <c r="BK437"/>
  <c r="BJ437"/>
  <c r="BI437"/>
  <c r="BH437"/>
  <c r="BG437"/>
  <c r="BF437"/>
  <c r="BE437"/>
  <c r="BD437"/>
  <c r="BC437"/>
  <c r="BB437"/>
  <c r="BA437" s="1"/>
  <c r="AX437"/>
  <c r="AW437"/>
  <c r="AV437"/>
  <c r="AC437"/>
  <c r="H437"/>
  <c r="G437" s="1"/>
  <c r="BT436"/>
  <c r="BS436"/>
  <c r="BR436"/>
  <c r="BQ436"/>
  <c r="BP436"/>
  <c r="BO436"/>
  <c r="BN436"/>
  <c r="BM436"/>
  <c r="BK436"/>
  <c r="BJ436"/>
  <c r="BI436"/>
  <c r="BH436"/>
  <c r="BG436"/>
  <c r="BF436"/>
  <c r="BE436"/>
  <c r="BD436"/>
  <c r="BC436"/>
  <c r="BB436"/>
  <c r="BA436" s="1"/>
  <c r="AX436"/>
  <c r="AW436"/>
  <c r="AV436"/>
  <c r="AC436"/>
  <c r="H436"/>
  <c r="G436"/>
  <c r="BT435"/>
  <c r="BS435"/>
  <c r="BR435"/>
  <c r="BQ435"/>
  <c r="BP435"/>
  <c r="BO435"/>
  <c r="BN435"/>
  <c r="BM435"/>
  <c r="BL435"/>
  <c r="BK435"/>
  <c r="BJ435"/>
  <c r="BI435"/>
  <c r="BA435" s="1"/>
  <c r="AZ435" s="1"/>
  <c r="BH435"/>
  <c r="BG435"/>
  <c r="BF435"/>
  <c r="BE435"/>
  <c r="BD435"/>
  <c r="BC435"/>
  <c r="BB435"/>
  <c r="AX435"/>
  <c r="AW435"/>
  <c r="AV435"/>
  <c r="AC435"/>
  <c r="H435"/>
  <c r="G435" s="1"/>
  <c r="BT434"/>
  <c r="BS434"/>
  <c r="BR434"/>
  <c r="BQ434"/>
  <c r="BP434"/>
  <c r="BO434"/>
  <c r="BL434" s="1"/>
  <c r="BN434"/>
  <c r="BM434"/>
  <c r="BK434"/>
  <c r="BJ434"/>
  <c r="BI434"/>
  <c r="BH434"/>
  <c r="BG434"/>
  <c r="BF434"/>
  <c r="BE434"/>
  <c r="BD434"/>
  <c r="BC434"/>
  <c r="BB434"/>
  <c r="AX434"/>
  <c r="AW434"/>
  <c r="AV434"/>
  <c r="AC434"/>
  <c r="H434"/>
  <c r="G434"/>
  <c r="BT433"/>
  <c r="BS433"/>
  <c r="BR433"/>
  <c r="BQ433"/>
  <c r="BP433"/>
  <c r="BO433"/>
  <c r="BN433"/>
  <c r="BM433"/>
  <c r="BK433"/>
  <c r="BJ433"/>
  <c r="BI433"/>
  <c r="BH433"/>
  <c r="BG433"/>
  <c r="BF433"/>
  <c r="BE433"/>
  <c r="BD433"/>
  <c r="BC433"/>
  <c r="BB433"/>
  <c r="AX433"/>
  <c r="AW433"/>
  <c r="AV433"/>
  <c r="AC433"/>
  <c r="H433"/>
  <c r="G433"/>
  <c r="BT432"/>
  <c r="BS432"/>
  <c r="BR432"/>
  <c r="BQ432"/>
  <c r="BP432"/>
  <c r="BO432"/>
  <c r="BN432"/>
  <c r="BM432"/>
  <c r="BK432"/>
  <c r="BJ432"/>
  <c r="BI432"/>
  <c r="BH432"/>
  <c r="BG432"/>
  <c r="BF432"/>
  <c r="BE432"/>
  <c r="BD432"/>
  <c r="BC432"/>
  <c r="BB432"/>
  <c r="AX432"/>
  <c r="AW432"/>
  <c r="AV432"/>
  <c r="AC432"/>
  <c r="H432"/>
  <c r="G432" s="1"/>
  <c r="BT431"/>
  <c r="BS431"/>
  <c r="BR431"/>
  <c r="BL431" s="1"/>
  <c r="BQ431"/>
  <c r="BP431"/>
  <c r="BO431"/>
  <c r="BN431"/>
  <c r="BM431"/>
  <c r="BK431"/>
  <c r="BJ431"/>
  <c r="BI431"/>
  <c r="BH431"/>
  <c r="BG431"/>
  <c r="BF431"/>
  <c r="BE431"/>
  <c r="BD431"/>
  <c r="BC431"/>
  <c r="BB431"/>
  <c r="BA431" s="1"/>
  <c r="AX431"/>
  <c r="AW431"/>
  <c r="AV431"/>
  <c r="AC431"/>
  <c r="H431"/>
  <c r="G431"/>
  <c r="BT430"/>
  <c r="BS430"/>
  <c r="BR430"/>
  <c r="BQ430"/>
  <c r="BP430"/>
  <c r="BO430"/>
  <c r="BN430"/>
  <c r="BM430"/>
  <c r="BL430"/>
  <c r="BK430"/>
  <c r="BJ430"/>
  <c r="BI430"/>
  <c r="BA430" s="1"/>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s="1"/>
  <c r="AX428"/>
  <c r="AW428"/>
  <c r="AV428"/>
  <c r="AC428"/>
  <c r="H428"/>
  <c r="G428"/>
  <c r="BT427"/>
  <c r="BS427"/>
  <c r="BR427"/>
  <c r="BQ427"/>
  <c r="BP427"/>
  <c r="BO427"/>
  <c r="BN427"/>
  <c r="BM427"/>
  <c r="BK427"/>
  <c r="BJ427"/>
  <c r="BI427"/>
  <c r="BH427"/>
  <c r="BG427"/>
  <c r="BF427"/>
  <c r="BE427"/>
  <c r="BD427"/>
  <c r="BC427"/>
  <c r="BB427"/>
  <c r="BA427" s="1"/>
  <c r="AX427"/>
  <c r="AW427"/>
  <c r="AV427"/>
  <c r="AC427"/>
  <c r="H427"/>
  <c r="G427" s="1"/>
  <c r="BT426"/>
  <c r="BS426"/>
  <c r="BR426"/>
  <c r="BQ426"/>
  <c r="BP426"/>
  <c r="BO426"/>
  <c r="BN426"/>
  <c r="BM426"/>
  <c r="BK426"/>
  <c r="BJ426"/>
  <c r="BI426"/>
  <c r="BH426"/>
  <c r="BG426"/>
  <c r="BF426"/>
  <c r="BE426"/>
  <c r="BD426"/>
  <c r="BC426"/>
  <c r="BB426"/>
  <c r="BA426" s="1"/>
  <c r="AX426"/>
  <c r="AW426"/>
  <c r="AV426"/>
  <c r="AC426"/>
  <c r="H426"/>
  <c r="G426"/>
  <c r="BT425"/>
  <c r="BS425"/>
  <c r="BR425"/>
  <c r="BQ425"/>
  <c r="BP425"/>
  <c r="BO425"/>
  <c r="BN425"/>
  <c r="BM425"/>
  <c r="BL425"/>
  <c r="BK425"/>
  <c r="BJ425"/>
  <c r="BI425"/>
  <c r="BA425" s="1"/>
  <c r="AZ425" s="1"/>
  <c r="BH425"/>
  <c r="BG425"/>
  <c r="BF425"/>
  <c r="BE425"/>
  <c r="BD425"/>
  <c r="BC425"/>
  <c r="BB425"/>
  <c r="AX425"/>
  <c r="AW425"/>
  <c r="AV425"/>
  <c r="AC425"/>
  <c r="H425"/>
  <c r="G425" s="1"/>
  <c r="BT424"/>
  <c r="BS424"/>
  <c r="BR424"/>
  <c r="BQ424"/>
  <c r="BP424"/>
  <c r="BO424"/>
  <c r="BL424" s="1"/>
  <c r="BN424"/>
  <c r="BM424"/>
  <c r="BK424"/>
  <c r="BJ424"/>
  <c r="BI424"/>
  <c r="BH424"/>
  <c r="BG424"/>
  <c r="BF424"/>
  <c r="BE424"/>
  <c r="BD424"/>
  <c r="BC424"/>
  <c r="BB424"/>
  <c r="AX424"/>
  <c r="AW424"/>
  <c r="AV424"/>
  <c r="AC424"/>
  <c r="H424"/>
  <c r="G424" s="1"/>
  <c r="BT423"/>
  <c r="BS423"/>
  <c r="BR423"/>
  <c r="BQ423"/>
  <c r="BP423"/>
  <c r="BO423"/>
  <c r="BN423"/>
  <c r="BM423"/>
  <c r="BK423"/>
  <c r="BJ423"/>
  <c r="BI423"/>
  <c r="BH423"/>
  <c r="BG423"/>
  <c r="BF423"/>
  <c r="BE423"/>
  <c r="BD423"/>
  <c r="BC423"/>
  <c r="BB423"/>
  <c r="AX423"/>
  <c r="AW423"/>
  <c r="AV423"/>
  <c r="AC423"/>
  <c r="H423"/>
  <c r="G423"/>
  <c r="BT422"/>
  <c r="BS422"/>
  <c r="BR422"/>
  <c r="BQ422"/>
  <c r="BP422"/>
  <c r="BL422" s="1"/>
  <c r="BO422"/>
  <c r="BN422"/>
  <c r="BM422"/>
  <c r="BK422"/>
  <c r="BJ422"/>
  <c r="BI422"/>
  <c r="BH422"/>
  <c r="BG422"/>
  <c r="BF422"/>
  <c r="BE422"/>
  <c r="BD422"/>
  <c r="BC422"/>
  <c r="BA422" s="1"/>
  <c r="BB422"/>
  <c r="AX422"/>
  <c r="AW422"/>
  <c r="AV422"/>
  <c r="AC422"/>
  <c r="H422"/>
  <c r="G422" s="1"/>
  <c r="BT421"/>
  <c r="BS421"/>
  <c r="BR421"/>
  <c r="BL421" s="1"/>
  <c r="BQ421"/>
  <c r="BP421"/>
  <c r="BO421"/>
  <c r="BN421"/>
  <c r="BM421"/>
  <c r="BK421"/>
  <c r="BJ421"/>
  <c r="BI421"/>
  <c r="BH421"/>
  <c r="BG421"/>
  <c r="BF421"/>
  <c r="BE421"/>
  <c r="BD421"/>
  <c r="BC421"/>
  <c r="BB421"/>
  <c r="BA421" s="1"/>
  <c r="AZ421" s="1"/>
  <c r="AX421"/>
  <c r="AW421"/>
  <c r="AV421"/>
  <c r="AC421"/>
  <c r="H421"/>
  <c r="G421" s="1"/>
  <c r="BT420"/>
  <c r="BS420"/>
  <c r="BR420"/>
  <c r="BQ420"/>
  <c r="BP420"/>
  <c r="BO420"/>
  <c r="BN420"/>
  <c r="BM420"/>
  <c r="BL420" s="1"/>
  <c r="BK420"/>
  <c r="BJ420"/>
  <c r="BI420"/>
  <c r="BH420"/>
  <c r="BG420"/>
  <c r="BF420"/>
  <c r="BE420"/>
  <c r="BD420"/>
  <c r="BC420"/>
  <c r="BB420"/>
  <c r="BA420"/>
  <c r="AZ420" s="1"/>
  <c r="AX420"/>
  <c r="AW420"/>
  <c r="AV420"/>
  <c r="AC420"/>
  <c r="G420" s="1"/>
  <c r="H420"/>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K418"/>
  <c r="BJ418"/>
  <c r="BI418"/>
  <c r="BH418"/>
  <c r="BG418"/>
  <c r="BF418"/>
  <c r="BE418"/>
  <c r="BD418"/>
  <c r="BC418"/>
  <c r="BB418"/>
  <c r="BA418" s="1"/>
  <c r="AX418"/>
  <c r="AW418"/>
  <c r="AV418"/>
  <c r="AC418"/>
  <c r="H418"/>
  <c r="G418"/>
  <c r="BT417"/>
  <c r="BS417"/>
  <c r="BR417"/>
  <c r="BQ417"/>
  <c r="BP417"/>
  <c r="BO417"/>
  <c r="BN417"/>
  <c r="BM417"/>
  <c r="BL417" s="1"/>
  <c r="BK417"/>
  <c r="BJ417"/>
  <c r="BI417"/>
  <c r="BH417"/>
  <c r="BG417"/>
  <c r="BF417"/>
  <c r="BE417"/>
  <c r="BA417" s="1"/>
  <c r="BD417"/>
  <c r="BC417"/>
  <c r="BB417"/>
  <c r="AX417"/>
  <c r="AW417"/>
  <c r="AV417"/>
  <c r="AC417"/>
  <c r="H417"/>
  <c r="G417"/>
  <c r="BT416"/>
  <c r="BS416"/>
  <c r="BR416"/>
  <c r="BQ416"/>
  <c r="BP416"/>
  <c r="BO416"/>
  <c r="BN416"/>
  <c r="BM416"/>
  <c r="BL416"/>
  <c r="BK416"/>
  <c r="BJ416"/>
  <c r="BI416"/>
  <c r="BA416" s="1"/>
  <c r="BH416"/>
  <c r="BG416"/>
  <c r="BF416"/>
  <c r="BE416"/>
  <c r="BD416"/>
  <c r="BC416"/>
  <c r="BB416"/>
  <c r="AZ416"/>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c r="BT414"/>
  <c r="BS414"/>
  <c r="BR414"/>
  <c r="BQ414"/>
  <c r="BP414"/>
  <c r="BO414"/>
  <c r="BN414"/>
  <c r="BM414"/>
  <c r="BK414"/>
  <c r="BJ414"/>
  <c r="BI414"/>
  <c r="BH414"/>
  <c r="BG414"/>
  <c r="BF414"/>
  <c r="BE414"/>
  <c r="BD414"/>
  <c r="BC414"/>
  <c r="BB414"/>
  <c r="AX414"/>
  <c r="AW414"/>
  <c r="AV414"/>
  <c r="AC414"/>
  <c r="H414"/>
  <c r="G414"/>
  <c r="BT413"/>
  <c r="BS413"/>
  <c r="BR413"/>
  <c r="BQ413"/>
  <c r="BP413"/>
  <c r="BO413"/>
  <c r="BN413"/>
  <c r="BM413"/>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AX412"/>
  <c r="AW412"/>
  <c r="AV412"/>
  <c r="AC412"/>
  <c r="H412"/>
  <c r="G412" s="1"/>
  <c r="BT411"/>
  <c r="BS411"/>
  <c r="BR411"/>
  <c r="BQ411"/>
  <c r="BP411"/>
  <c r="BO411"/>
  <c r="BN411"/>
  <c r="BM411"/>
  <c r="BL411" s="1"/>
  <c r="BK411"/>
  <c r="BJ411"/>
  <c r="BA411" s="1"/>
  <c r="AZ411" s="1"/>
  <c r="BI411"/>
  <c r="BH411"/>
  <c r="BG411"/>
  <c r="BF411"/>
  <c r="BE411"/>
  <c r="BD411"/>
  <c r="BC411"/>
  <c r="BB411"/>
  <c r="AX411"/>
  <c r="AW411"/>
  <c r="AV411"/>
  <c r="AC411"/>
  <c r="G411" s="1"/>
  <c r="H411"/>
  <c r="BT410"/>
  <c r="BS410"/>
  <c r="BR410"/>
  <c r="BQ410"/>
  <c r="BP410"/>
  <c r="BO410"/>
  <c r="BN410"/>
  <c r="BM410"/>
  <c r="BK410"/>
  <c r="BJ410"/>
  <c r="BI410"/>
  <c r="BH410"/>
  <c r="BG410"/>
  <c r="BF410"/>
  <c r="BE410"/>
  <c r="BD410"/>
  <c r="BA410" s="1"/>
  <c r="BC410"/>
  <c r="BB410"/>
  <c r="AX410"/>
  <c r="AW410"/>
  <c r="AV410"/>
  <c r="AC410"/>
  <c r="H410"/>
  <c r="G410" s="1"/>
  <c r="BT409"/>
  <c r="BS409"/>
  <c r="BR409"/>
  <c r="BQ409"/>
  <c r="BP409"/>
  <c r="BO409"/>
  <c r="BN409"/>
  <c r="BM409"/>
  <c r="BK409"/>
  <c r="BJ409"/>
  <c r="BI409"/>
  <c r="BH409"/>
  <c r="BG409"/>
  <c r="BF409"/>
  <c r="BE409"/>
  <c r="BD409"/>
  <c r="BC409"/>
  <c r="BB409"/>
  <c r="BA409" s="1"/>
  <c r="AX409"/>
  <c r="AW409"/>
  <c r="AV409"/>
  <c r="AC409"/>
  <c r="H409"/>
  <c r="G409"/>
  <c r="BT408"/>
  <c r="BS408"/>
  <c r="BR408"/>
  <c r="BQ408"/>
  <c r="BP408"/>
  <c r="BO408"/>
  <c r="BN408"/>
  <c r="BM408"/>
  <c r="BL408" s="1"/>
  <c r="BK408"/>
  <c r="BJ408"/>
  <c r="BI408"/>
  <c r="BH408"/>
  <c r="BG408"/>
  <c r="BF408"/>
  <c r="BE408"/>
  <c r="BA408" s="1"/>
  <c r="BD408"/>
  <c r="BC408"/>
  <c r="BB408"/>
  <c r="AX408"/>
  <c r="AW408"/>
  <c r="AV408"/>
  <c r="AC408"/>
  <c r="H408"/>
  <c r="G408"/>
  <c r="BT407"/>
  <c r="BS407"/>
  <c r="BR407"/>
  <c r="BQ407"/>
  <c r="BP407"/>
  <c r="BO407"/>
  <c r="BN407"/>
  <c r="BM407"/>
  <c r="BL407"/>
  <c r="BK407"/>
  <c r="BJ407"/>
  <c r="BI407"/>
  <c r="BA407" s="1"/>
  <c r="BH407"/>
  <c r="BG407"/>
  <c r="BF407"/>
  <c r="BE407"/>
  <c r="BD407"/>
  <c r="BC407"/>
  <c r="BB407"/>
  <c r="AX407"/>
  <c r="AW407"/>
  <c r="AV407"/>
  <c r="AC407"/>
  <c r="H407"/>
  <c r="G407" s="1"/>
  <c r="BT406"/>
  <c r="BS406"/>
  <c r="BR406"/>
  <c r="BQ406"/>
  <c r="BP406"/>
  <c r="BO406"/>
  <c r="BN406"/>
  <c r="BM406"/>
  <c r="BL406" s="1"/>
  <c r="BK406"/>
  <c r="BJ406"/>
  <c r="BI406"/>
  <c r="BH406"/>
  <c r="BG406"/>
  <c r="BF406"/>
  <c r="BE406"/>
  <c r="BD406"/>
  <c r="BC406"/>
  <c r="BB406"/>
  <c r="BA406" s="1"/>
  <c r="AZ406" s="1"/>
  <c r="AX406"/>
  <c r="AW406"/>
  <c r="AV406"/>
  <c r="AC406"/>
  <c r="H406"/>
  <c r="G406"/>
  <c r="BT405"/>
  <c r="BS405"/>
  <c r="BR405"/>
  <c r="BQ405"/>
  <c r="BP405"/>
  <c r="BO405"/>
  <c r="BN405"/>
  <c r="BM405"/>
  <c r="BK405"/>
  <c r="BJ405"/>
  <c r="BI405"/>
  <c r="BH405"/>
  <c r="BG405"/>
  <c r="BF405"/>
  <c r="BE405"/>
  <c r="BD405"/>
  <c r="BC405"/>
  <c r="BB405"/>
  <c r="AX405"/>
  <c r="AW405"/>
  <c r="AV405"/>
  <c r="AC405"/>
  <c r="H405"/>
  <c r="G405"/>
  <c r="BT404"/>
  <c r="BS404"/>
  <c r="BR404"/>
  <c r="BQ404"/>
  <c r="BP404"/>
  <c r="BL404" s="1"/>
  <c r="BO404"/>
  <c r="BN404"/>
  <c r="BM404"/>
  <c r="BK404"/>
  <c r="BJ404"/>
  <c r="BI404"/>
  <c r="BH404"/>
  <c r="BG404"/>
  <c r="BF404"/>
  <c r="BE404"/>
  <c r="BD404"/>
  <c r="BC404"/>
  <c r="BA404" s="1"/>
  <c r="AZ404" s="1"/>
  <c r="BB404"/>
  <c r="AX404"/>
  <c r="AW404"/>
  <c r="AV404"/>
  <c r="AC404"/>
  <c r="H404"/>
  <c r="G404" s="1"/>
  <c r="BT403"/>
  <c r="BL403" s="1"/>
  <c r="BS403"/>
  <c r="BR403"/>
  <c r="BQ403"/>
  <c r="BP403"/>
  <c r="BO403"/>
  <c r="BN403"/>
  <c r="BM403"/>
  <c r="BK403"/>
  <c r="BJ403"/>
  <c r="BI403"/>
  <c r="BH403"/>
  <c r="BG403"/>
  <c r="BA403" s="1"/>
  <c r="BF403"/>
  <c r="BE403"/>
  <c r="BD403"/>
  <c r="BC403"/>
  <c r="BB403"/>
  <c r="AX403"/>
  <c r="AW403"/>
  <c r="AV403"/>
  <c r="AC403"/>
  <c r="H403"/>
  <c r="G403" s="1"/>
  <c r="BT402"/>
  <c r="BS402"/>
  <c r="BR402"/>
  <c r="BQ402"/>
  <c r="BP402"/>
  <c r="BO402"/>
  <c r="BN402"/>
  <c r="BM402"/>
  <c r="BL402"/>
  <c r="BK402"/>
  <c r="BJ402"/>
  <c r="BA402" s="1"/>
  <c r="AZ402" s="1"/>
  <c r="BI402"/>
  <c r="BH402"/>
  <c r="BG402"/>
  <c r="BF402"/>
  <c r="BE402"/>
  <c r="BD402"/>
  <c r="BC402"/>
  <c r="BB402"/>
  <c r="AX402"/>
  <c r="AW402"/>
  <c r="AV402"/>
  <c r="AC402"/>
  <c r="G402" s="1"/>
  <c r="H402"/>
  <c r="BT401"/>
  <c r="BS401"/>
  <c r="BR401"/>
  <c r="BQ401"/>
  <c r="BP401"/>
  <c r="BO401"/>
  <c r="BN401"/>
  <c r="BM401"/>
  <c r="BK401"/>
  <c r="BJ401"/>
  <c r="BI401"/>
  <c r="BH401"/>
  <c r="BG401"/>
  <c r="BF401"/>
  <c r="BE401"/>
  <c r="BD401"/>
  <c r="BC401"/>
  <c r="BA401" s="1"/>
  <c r="BB401"/>
  <c r="AX401"/>
  <c r="AW401"/>
  <c r="AV401"/>
  <c r="AC401"/>
  <c r="H401"/>
  <c r="G401" s="1"/>
  <c r="BT400"/>
  <c r="BS400"/>
  <c r="BR400"/>
  <c r="BQ400"/>
  <c r="BP400"/>
  <c r="BO400"/>
  <c r="BN400"/>
  <c r="BM400"/>
  <c r="BK400"/>
  <c r="BJ400"/>
  <c r="BI400"/>
  <c r="BH400"/>
  <c r="BG400"/>
  <c r="BF400"/>
  <c r="BE400"/>
  <c r="BD400"/>
  <c r="BC400"/>
  <c r="BB400"/>
  <c r="AX400"/>
  <c r="AW400"/>
  <c r="AV400"/>
  <c r="AC400"/>
  <c r="H400"/>
  <c r="G400"/>
  <c r="BT399"/>
  <c r="BS399"/>
  <c r="BR399"/>
  <c r="BQ399"/>
  <c r="BP399"/>
  <c r="BO399"/>
  <c r="BN399"/>
  <c r="BM399"/>
  <c r="BK399"/>
  <c r="BJ399"/>
  <c r="BI399"/>
  <c r="BH399"/>
  <c r="BG399"/>
  <c r="BF399"/>
  <c r="BE399"/>
  <c r="BD399"/>
  <c r="BC399"/>
  <c r="BB399"/>
  <c r="AX399"/>
  <c r="AW399"/>
  <c r="AV399"/>
  <c r="AC399"/>
  <c r="H399"/>
  <c r="BT398"/>
  <c r="BL398" s="1"/>
  <c r="BS398"/>
  <c r="BR398"/>
  <c r="BQ398"/>
  <c r="BP398"/>
  <c r="BO398"/>
  <c r="BN398"/>
  <c r="BM398"/>
  <c r="BK398"/>
  <c r="BJ398"/>
  <c r="BI398"/>
  <c r="BH398"/>
  <c r="BG398"/>
  <c r="BA398" s="1"/>
  <c r="BF398"/>
  <c r="BE398"/>
  <c r="BD398"/>
  <c r="BC398"/>
  <c r="BB398"/>
  <c r="AX398"/>
  <c r="AW398"/>
  <c r="AV398"/>
  <c r="AC398"/>
  <c r="H398"/>
  <c r="G398" s="1"/>
  <c r="BT397"/>
  <c r="BS397"/>
  <c r="BR397"/>
  <c r="BQ397"/>
  <c r="BP397"/>
  <c r="BO397"/>
  <c r="BN397"/>
  <c r="BL397" s="1"/>
  <c r="BM397"/>
  <c r="BK397"/>
  <c r="BJ397"/>
  <c r="BI397"/>
  <c r="BH397"/>
  <c r="BG397"/>
  <c r="BF397"/>
  <c r="BE397"/>
  <c r="BD397"/>
  <c r="BC397"/>
  <c r="BB397"/>
  <c r="BA397" s="1"/>
  <c r="AX397"/>
  <c r="AW397"/>
  <c r="AV397"/>
  <c r="AC397"/>
  <c r="G397" s="1"/>
  <c r="H397"/>
  <c r="BT396"/>
  <c r="BS396"/>
  <c r="BR396"/>
  <c r="BQ396"/>
  <c r="BP396"/>
  <c r="BO396"/>
  <c r="BN396"/>
  <c r="BM396"/>
  <c r="BK396"/>
  <c r="BJ396"/>
  <c r="BI396"/>
  <c r="BH396"/>
  <c r="BG396"/>
  <c r="BF396"/>
  <c r="BE396"/>
  <c r="BD396"/>
  <c r="BC396"/>
  <c r="BA396" s="1"/>
  <c r="BB396"/>
  <c r="AX396"/>
  <c r="AW396"/>
  <c r="AV396"/>
  <c r="AC396"/>
  <c r="H396"/>
  <c r="G396"/>
  <c r="BT395"/>
  <c r="BS395"/>
  <c r="BR395"/>
  <c r="BQ395"/>
  <c r="BP395"/>
  <c r="BO395"/>
  <c r="BN395"/>
  <c r="BM395"/>
  <c r="BK395"/>
  <c r="BJ395"/>
  <c r="BI395"/>
  <c r="BH395"/>
  <c r="BG395"/>
  <c r="BF395"/>
  <c r="BE395"/>
  <c r="BD395"/>
  <c r="BC395"/>
  <c r="BB395"/>
  <c r="AX395"/>
  <c r="AW395"/>
  <c r="AV395"/>
  <c r="AC395"/>
  <c r="H395"/>
  <c r="G395" s="1"/>
  <c r="BT394"/>
  <c r="BS394"/>
  <c r="BR394"/>
  <c r="BL394" s="1"/>
  <c r="BQ394"/>
  <c r="BP394"/>
  <c r="BO394"/>
  <c r="BN394"/>
  <c r="BM394"/>
  <c r="BK394"/>
  <c r="BJ394"/>
  <c r="BI394"/>
  <c r="BH394"/>
  <c r="BG394"/>
  <c r="BF394"/>
  <c r="BE394"/>
  <c r="BD394"/>
  <c r="BC394"/>
  <c r="BB394"/>
  <c r="BA394" s="1"/>
  <c r="AX394"/>
  <c r="AW394"/>
  <c r="AV394"/>
  <c r="AC394"/>
  <c r="G394" s="1"/>
  <c r="H394"/>
  <c r="BT393"/>
  <c r="BS393"/>
  <c r="BR393"/>
  <c r="BQ393"/>
  <c r="BP393"/>
  <c r="BO393"/>
  <c r="BN393"/>
  <c r="BM393"/>
  <c r="BL393"/>
  <c r="BK393"/>
  <c r="BA393" s="1"/>
  <c r="AZ393" s="1"/>
  <c r="BJ393"/>
  <c r="BI393"/>
  <c r="BH393"/>
  <c r="BG393"/>
  <c r="BF393"/>
  <c r="BE393"/>
  <c r="BD393"/>
  <c r="BC393"/>
  <c r="BB393"/>
  <c r="AX393"/>
  <c r="AW393"/>
  <c r="AV393"/>
  <c r="AC393"/>
  <c r="H393"/>
  <c r="G393" s="1"/>
  <c r="BT392"/>
  <c r="BS392"/>
  <c r="BR392"/>
  <c r="BQ392"/>
  <c r="BP392"/>
  <c r="BO392"/>
  <c r="BN392"/>
  <c r="BM392"/>
  <c r="BL392"/>
  <c r="AZ392" s="1"/>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G391"/>
  <c r="BT390"/>
  <c r="BS390"/>
  <c r="BR390"/>
  <c r="BQ390"/>
  <c r="BP390"/>
  <c r="BO390"/>
  <c r="BN390"/>
  <c r="BM390"/>
  <c r="BK390"/>
  <c r="BJ390"/>
  <c r="BI390"/>
  <c r="BH390"/>
  <c r="BG390"/>
  <c r="BF390"/>
  <c r="BE390"/>
  <c r="BD390"/>
  <c r="BC390"/>
  <c r="BB390"/>
  <c r="AX390"/>
  <c r="AW390"/>
  <c r="AV390"/>
  <c r="AC390"/>
  <c r="H390"/>
  <c r="G390"/>
  <c r="BT389"/>
  <c r="BS389"/>
  <c r="BR389"/>
  <c r="BL389" s="1"/>
  <c r="BQ389"/>
  <c r="BP389"/>
  <c r="BO389"/>
  <c r="BN389"/>
  <c r="BM389"/>
  <c r="BK389"/>
  <c r="BJ389"/>
  <c r="BI389"/>
  <c r="BH389"/>
  <c r="BG389"/>
  <c r="BF389"/>
  <c r="BE389"/>
  <c r="BD389"/>
  <c r="BC389"/>
  <c r="BB389"/>
  <c r="AX389"/>
  <c r="AW389"/>
  <c r="AV389"/>
  <c r="AC389"/>
  <c r="H389"/>
  <c r="G389" s="1"/>
  <c r="H62" i="40"/>
  <c r="I62" s="1"/>
  <c r="C62" s="1"/>
  <c r="H61"/>
  <c r="I6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45" i="21"/>
  <c r="K139" s="1"/>
  <c r="J142"/>
  <c r="J140"/>
  <c r="M87"/>
  <c r="L87"/>
  <c r="K87"/>
  <c r="J87"/>
  <c r="I87"/>
  <c r="H87"/>
  <c r="G87"/>
  <c r="F87"/>
  <c r="E87"/>
  <c r="D87"/>
  <c r="G2" i="46"/>
  <c r="H17" s="1"/>
  <c r="R26" i="31"/>
  <c r="S26"/>
  <c r="R27"/>
  <c r="R28"/>
  <c r="S28"/>
  <c r="R29"/>
  <c r="R30"/>
  <c r="S30"/>
  <c r="R31"/>
  <c r="R32"/>
  <c r="S32" s="1"/>
  <c r="R33"/>
  <c r="R34"/>
  <c r="S34"/>
  <c r="R35"/>
  <c r="R36"/>
  <c r="S36"/>
  <c r="R37"/>
  <c r="R38"/>
  <c r="S38"/>
  <c r="R39"/>
  <c r="R40"/>
  <c r="S40" s="1"/>
  <c r="R41"/>
  <c r="R42"/>
  <c r="S42"/>
  <c r="R43"/>
  <c r="R44"/>
  <c r="S44"/>
  <c r="R45"/>
  <c r="R46"/>
  <c r="S46"/>
  <c r="R47"/>
  <c r="R48"/>
  <c r="S48" s="1"/>
  <c r="R49"/>
  <c r="R50"/>
  <c r="S50"/>
  <c r="R51"/>
  <c r="R52"/>
  <c r="S52"/>
  <c r="R53"/>
  <c r="R54"/>
  <c r="S54"/>
  <c r="R55"/>
  <c r="R56"/>
  <c r="S56" s="1"/>
  <c r="R57"/>
  <c r="R58"/>
  <c r="S58"/>
  <c r="R59"/>
  <c r="R60"/>
  <c r="S60"/>
  <c r="R61"/>
  <c r="R62"/>
  <c r="S62"/>
  <c r="R63"/>
  <c r="R64"/>
  <c r="S64" s="1"/>
  <c r="R65"/>
  <c r="R66"/>
  <c r="S66"/>
  <c r="R67"/>
  <c r="R68"/>
  <c r="S68"/>
  <c r="R69"/>
  <c r="R70"/>
  <c r="S70"/>
  <c r="R71"/>
  <c r="R72"/>
  <c r="S72" s="1"/>
  <c r="R73"/>
  <c r="R74"/>
  <c r="S74"/>
  <c r="R75"/>
  <c r="R76"/>
  <c r="S76"/>
  <c r="R77"/>
  <c r="R78"/>
  <c r="S78"/>
  <c r="R79"/>
  <c r="R80"/>
  <c r="S80" s="1"/>
  <c r="R81"/>
  <c r="R82"/>
  <c r="S82"/>
  <c r="R83"/>
  <c r="R84"/>
  <c r="S84"/>
  <c r="R85"/>
  <c r="R86"/>
  <c r="S86"/>
  <c r="R87"/>
  <c r="R88"/>
  <c r="S88" s="1"/>
  <c r="R89"/>
  <c r="R90"/>
  <c r="S90"/>
  <c r="R91"/>
  <c r="R92"/>
  <c r="S92"/>
  <c r="R93"/>
  <c r="R94"/>
  <c r="S94"/>
  <c r="R95"/>
  <c r="R96"/>
  <c r="S96" s="1"/>
  <c r="R97"/>
  <c r="R98"/>
  <c r="S98"/>
  <c r="R99"/>
  <c r="R100"/>
  <c r="S100"/>
  <c r="R101"/>
  <c r="R102"/>
  <c r="S102"/>
  <c r="R103"/>
  <c r="R104"/>
  <c r="S104" s="1"/>
  <c r="R105"/>
  <c r="R106"/>
  <c r="S106"/>
  <c r="R107"/>
  <c r="R108"/>
  <c r="S108"/>
  <c r="R109"/>
  <c r="R110"/>
  <c r="S110"/>
  <c r="R111"/>
  <c r="R112"/>
  <c r="S112" s="1"/>
  <c r="R113"/>
  <c r="R114"/>
  <c r="S114"/>
  <c r="R115"/>
  <c r="R116"/>
  <c r="S116"/>
  <c r="R117"/>
  <c r="R118"/>
  <c r="S118"/>
  <c r="R119"/>
  <c r="R120"/>
  <c r="S120" s="1"/>
  <c r="R121"/>
  <c r="R122"/>
  <c r="S122"/>
  <c r="R123"/>
  <c r="R124"/>
  <c r="S124"/>
  <c r="R125"/>
  <c r="R126"/>
  <c r="S126"/>
  <c r="R127"/>
  <c r="R128"/>
  <c r="S128" s="1"/>
  <c r="R129"/>
  <c r="R130"/>
  <c r="S130"/>
  <c r="R131"/>
  <c r="R132"/>
  <c r="S132"/>
  <c r="R133"/>
  <c r="R134"/>
  <c r="S134"/>
  <c r="R135"/>
  <c r="R136"/>
  <c r="S136" s="1"/>
  <c r="R137"/>
  <c r="R138"/>
  <c r="S138"/>
  <c r="R139"/>
  <c r="R140"/>
  <c r="S140"/>
  <c r="R141"/>
  <c r="R142"/>
  <c r="S142"/>
  <c r="R143"/>
  <c r="R144"/>
  <c r="S144" s="1"/>
  <c r="R145"/>
  <c r="R146"/>
  <c r="S146"/>
  <c r="R147"/>
  <c r="R148"/>
  <c r="S148"/>
  <c r="R149"/>
  <c r="R150"/>
  <c r="S150"/>
  <c r="R151"/>
  <c r="R152"/>
  <c r="S152" s="1"/>
  <c r="R153"/>
  <c r="R154"/>
  <c r="S154"/>
  <c r="R155"/>
  <c r="R156"/>
  <c r="S156"/>
  <c r="R157"/>
  <c r="R158"/>
  <c r="S158"/>
  <c r="R159"/>
  <c r="R160"/>
  <c r="S160" s="1"/>
  <c r="R161"/>
  <c r="R162"/>
  <c r="S162"/>
  <c r="R163"/>
  <c r="R164"/>
  <c r="S164"/>
  <c r="R165"/>
  <c r="R166"/>
  <c r="S166"/>
  <c r="R167"/>
  <c r="R168"/>
  <c r="S168" s="1"/>
  <c r="R169"/>
  <c r="R170"/>
  <c r="S170"/>
  <c r="R171"/>
  <c r="R172"/>
  <c r="S172"/>
  <c r="R173"/>
  <c r="R174"/>
  <c r="S174"/>
  <c r="R175"/>
  <c r="R176"/>
  <c r="S176" s="1"/>
  <c r="R177"/>
  <c r="R178"/>
  <c r="S178"/>
  <c r="R179"/>
  <c r="R180"/>
  <c r="S180"/>
  <c r="R181"/>
  <c r="R182"/>
  <c r="S182"/>
  <c r="R183"/>
  <c r="R184"/>
  <c r="S184" s="1"/>
  <c r="R185"/>
  <c r="R186"/>
  <c r="S186"/>
  <c r="R187"/>
  <c r="R188"/>
  <c r="S188"/>
  <c r="R189"/>
  <c r="R190"/>
  <c r="S190"/>
  <c r="R191"/>
  <c r="R192"/>
  <c r="S192" s="1"/>
  <c r="R193"/>
  <c r="R194"/>
  <c r="S194"/>
  <c r="R195"/>
  <c r="R196"/>
  <c r="S196"/>
  <c r="R197"/>
  <c r="R198"/>
  <c r="S198"/>
  <c r="R199"/>
  <c r="R200"/>
  <c r="S200" s="1"/>
  <c r="R201"/>
  <c r="R202"/>
  <c r="S202"/>
  <c r="R203"/>
  <c r="R204"/>
  <c r="S204"/>
  <c r="R205"/>
  <c r="R206"/>
  <c r="S206"/>
  <c r="R207"/>
  <c r="R208"/>
  <c r="S208" s="1"/>
  <c r="R209"/>
  <c r="R210"/>
  <c r="S210"/>
  <c r="R211"/>
  <c r="R212"/>
  <c r="S212"/>
  <c r="R213"/>
  <c r="R214"/>
  <c r="S214"/>
  <c r="R215"/>
  <c r="R216"/>
  <c r="S216" s="1"/>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c r="R431"/>
  <c r="R432"/>
  <c r="S432" s="1"/>
  <c r="R433"/>
  <c r="R434"/>
  <c r="S434" s="1"/>
  <c r="R435"/>
  <c r="R436"/>
  <c r="S436" s="1"/>
  <c r="R437"/>
  <c r="R438"/>
  <c r="S438"/>
  <c r="R439"/>
  <c r="R440"/>
  <c r="S440"/>
  <c r="R441"/>
  <c r="R442"/>
  <c r="S442" s="1"/>
  <c r="R443"/>
  <c r="R444"/>
  <c r="S444" s="1"/>
  <c r="R445"/>
  <c r="R446"/>
  <c r="S446"/>
  <c r="R447"/>
  <c r="R448"/>
  <c r="S448"/>
  <c r="R449"/>
  <c r="R450"/>
  <c r="S450" s="1"/>
  <c r="R451"/>
  <c r="R452"/>
  <c r="S452" s="1"/>
  <c r="R453"/>
  <c r="R454"/>
  <c r="S454"/>
  <c r="R455"/>
  <c r="R456"/>
  <c r="S456"/>
  <c r="R457"/>
  <c r="R458"/>
  <c r="S458" s="1"/>
  <c r="R459"/>
  <c r="R460"/>
  <c r="S460" s="1"/>
  <c r="R461"/>
  <c r="R462"/>
  <c r="S462"/>
  <c r="R463"/>
  <c r="R464"/>
  <c r="S464" s="1"/>
  <c r="R465"/>
  <c r="R466"/>
  <c r="S466"/>
  <c r="R467"/>
  <c r="R468"/>
  <c r="S468" s="1"/>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s="1"/>
  <c r="R501"/>
  <c r="R502"/>
  <c r="S502" s="1"/>
  <c r="R503"/>
  <c r="R504"/>
  <c r="S504"/>
  <c r="R505"/>
  <c r="R506"/>
  <c r="S506"/>
  <c r="R507"/>
  <c r="R508"/>
  <c r="S508" s="1"/>
  <c r="R509"/>
  <c r="R510"/>
  <c r="S510" s="1"/>
  <c r="R511"/>
  <c r="R512"/>
  <c r="S512"/>
  <c r="R513"/>
  <c r="R514"/>
  <c r="S514"/>
  <c r="R515"/>
  <c r="R516"/>
  <c r="S516" s="1"/>
  <c r="R517"/>
  <c r="R518"/>
  <c r="S518" s="1"/>
  <c r="R519"/>
  <c r="R520"/>
  <c r="S520"/>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s="1"/>
  <c r="N3" i="54"/>
  <c r="B42" i="63" s="1"/>
  <c r="A2" i="9"/>
  <c r="T16" i="4"/>
  <c r="D14"/>
  <c r="M4" i="9"/>
  <c r="L4"/>
  <c r="G36" i="4"/>
  <c r="K2" i="54"/>
  <c r="B23" i="63" s="1"/>
  <c r="A3" i="51"/>
  <c r="R41" i="4"/>
  <c r="Q41"/>
  <c r="P41"/>
  <c r="O41"/>
  <c r="N41"/>
  <c r="M41"/>
  <c r="L41"/>
  <c r="K40"/>
  <c r="T40" s="1"/>
  <c r="F23"/>
  <c r="D19"/>
  <c r="I19"/>
  <c r="H19"/>
  <c r="G19"/>
  <c r="F9" i="1"/>
  <c r="AP9" s="1"/>
  <c r="F19" i="4"/>
  <c r="F8" i="1" s="1"/>
  <c r="E19" i="4"/>
  <c r="F7" i="1" s="1"/>
  <c r="I20" i="71" s="1"/>
  <c r="B2" i="52"/>
  <c r="I2" i="46"/>
  <c r="N12" s="1"/>
  <c r="A7"/>
  <c r="F41" i="4"/>
  <c r="J52" i="40"/>
  <c r="H61" i="49"/>
  <c r="H39" i="46"/>
  <c r="H38"/>
  <c r="H37"/>
  <c r="H36"/>
  <c r="H35"/>
  <c r="H34"/>
  <c r="H33"/>
  <c r="J20"/>
  <c r="C18"/>
  <c r="F15"/>
  <c r="E15"/>
  <c r="D15"/>
  <c r="C15"/>
  <c r="C10"/>
  <c r="C11" s="1"/>
  <c r="C9"/>
  <c r="E19" i="6"/>
  <c r="E32" s="1"/>
  <c r="E22"/>
  <c r="E23"/>
  <c r="E24"/>
  <c r="E25"/>
  <c r="E26"/>
  <c r="C35" i="4"/>
  <c r="E16" i="12"/>
  <c r="F14"/>
  <c r="F15"/>
  <c r="F17"/>
  <c r="E21"/>
  <c r="E22"/>
  <c r="F23"/>
  <c r="F24"/>
  <c r="C43" i="9"/>
  <c r="K47" s="1"/>
  <c r="B65" i="63"/>
  <c r="I73" i="9"/>
  <c r="F73"/>
  <c r="P73" s="1"/>
  <c r="D107"/>
  <c r="C107" s="1"/>
  <c r="C105" s="1"/>
  <c r="C110" s="1"/>
  <c r="C17"/>
  <c r="D17"/>
  <c r="C18" s="1"/>
  <c r="F17" i="44"/>
  <c r="F19"/>
  <c r="F22"/>
  <c r="F25"/>
  <c r="D25" s="1"/>
  <c r="F23"/>
  <c r="E16" i="43"/>
  <c r="F14"/>
  <c r="F15"/>
  <c r="F17"/>
  <c r="F19"/>
  <c r="F20"/>
  <c r="C20" s="1"/>
  <c r="F10" i="40"/>
  <c r="AA10" s="1"/>
  <c r="F11"/>
  <c r="AA11" s="1"/>
  <c r="C21"/>
  <c r="C32"/>
  <c r="H32" s="1"/>
  <c r="F36"/>
  <c r="AA36"/>
  <c r="H10"/>
  <c r="AB10"/>
  <c r="H11"/>
  <c r="AB11"/>
  <c r="H36"/>
  <c r="AB36" s="1"/>
  <c r="J10"/>
  <c r="AC10" s="1"/>
  <c r="J11"/>
  <c r="AC11"/>
  <c r="J36"/>
  <c r="AC36"/>
  <c r="F10" i="39"/>
  <c r="AA10"/>
  <c r="F11"/>
  <c r="AA11" s="1"/>
  <c r="C25"/>
  <c r="F36"/>
  <c r="AA36"/>
  <c r="F40"/>
  <c r="AA40"/>
  <c r="F42"/>
  <c r="AA42" s="1"/>
  <c r="H10"/>
  <c r="AB10" s="1"/>
  <c r="H11"/>
  <c r="AB11" s="1"/>
  <c r="H36"/>
  <c r="AB36" s="1"/>
  <c r="H40"/>
  <c r="AB40" s="1"/>
  <c r="H42"/>
  <c r="AB42" s="1"/>
  <c r="J10"/>
  <c r="AC10"/>
  <c r="J11"/>
  <c r="AC11" s="1"/>
  <c r="J36"/>
  <c r="AC36" s="1"/>
  <c r="J40"/>
  <c r="AC40"/>
  <c r="J42"/>
  <c r="AC42"/>
  <c r="F35" i="44"/>
  <c r="M21"/>
  <c r="F20"/>
  <c r="K9" i="43"/>
  <c r="J9"/>
  <c r="I9"/>
  <c r="H9"/>
  <c r="G9"/>
  <c r="F9"/>
  <c r="E9"/>
  <c r="D9"/>
  <c r="C9"/>
  <c r="C6" s="1"/>
  <c r="BC13" i="3"/>
  <c r="BB13"/>
  <c r="BR13"/>
  <c r="B24" i="1"/>
  <c r="O75" i="9"/>
  <c r="L75"/>
  <c r="P75"/>
  <c r="O74"/>
  <c r="O73"/>
  <c r="E66"/>
  <c r="O72" s="1"/>
  <c r="F74"/>
  <c r="P74" s="1"/>
  <c r="K44"/>
  <c r="K43"/>
  <c r="B22" i="1"/>
  <c r="G22" i="43" s="1"/>
  <c r="B23" i="1"/>
  <c r="BM14" i="3"/>
  <c r="BL14" s="1"/>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30" i="40"/>
  <c r="D95" i="9"/>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I48" i="37"/>
  <c r="J48"/>
  <c r="G48"/>
  <c r="H48"/>
  <c r="E48"/>
  <c r="F48"/>
  <c r="I55" i="34"/>
  <c r="J55" s="1"/>
  <c r="G55"/>
  <c r="H55" s="1"/>
  <c r="E55"/>
  <c r="F55" s="1"/>
  <c r="I50" i="40"/>
  <c r="J50"/>
  <c r="G50"/>
  <c r="H50"/>
  <c r="E50"/>
  <c r="F50" s="1"/>
  <c r="I55" i="39"/>
  <c r="J55" s="1"/>
  <c r="G55"/>
  <c r="H55"/>
  <c r="E55"/>
  <c r="F55"/>
  <c r="I42" i="36"/>
  <c r="J42"/>
  <c r="G42"/>
  <c r="H42"/>
  <c r="E42"/>
  <c r="F42" s="1"/>
  <c r="I44" i="35"/>
  <c r="J44" s="1"/>
  <c r="G44"/>
  <c r="H44"/>
  <c r="E44"/>
  <c r="F44"/>
  <c r="I54" i="33"/>
  <c r="J54" s="1"/>
  <c r="G54"/>
  <c r="E54"/>
  <c r="F54"/>
  <c r="H14" i="3"/>
  <c r="G14" s="1"/>
  <c r="AC14"/>
  <c r="H15"/>
  <c r="AC15"/>
  <c r="G15"/>
  <c r="H16"/>
  <c r="AC16"/>
  <c r="H17"/>
  <c r="AC17"/>
  <c r="H18"/>
  <c r="AC18"/>
  <c r="BB18"/>
  <c r="BC18"/>
  <c r="BD18"/>
  <c r="BE18"/>
  <c r="BF18"/>
  <c r="BG18"/>
  <c r="BH18"/>
  <c r="BI18"/>
  <c r="BJ18"/>
  <c r="BK18"/>
  <c r="BM18"/>
  <c r="BN18"/>
  <c r="BO18"/>
  <c r="BP18"/>
  <c r="BR18"/>
  <c r="BS18"/>
  <c r="BT18"/>
  <c r="H19"/>
  <c r="G19" s="1"/>
  <c r="AC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AC482"/>
  <c r="G482" s="1"/>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G487" s="1"/>
  <c r="AC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AC490"/>
  <c r="G490" s="1"/>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G497" s="1"/>
  <c r="AC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AC503"/>
  <c r="G503" s="1"/>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G505" s="1"/>
  <c r="AC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G509" s="1"/>
  <c r="AC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AC511"/>
  <c r="G511" s="1"/>
  <c r="BB511"/>
  <c r="BC511"/>
  <c r="BD511"/>
  <c r="BE511"/>
  <c r="BF511"/>
  <c r="BG511"/>
  <c r="BH511"/>
  <c r="BI511"/>
  <c r="BJ511"/>
  <c r="BK511"/>
  <c r="BM511"/>
  <c r="BN511"/>
  <c r="BO511"/>
  <c r="BP511"/>
  <c r="BQ511"/>
  <c r="BR511"/>
  <c r="BS511"/>
  <c r="BT511"/>
  <c r="H512"/>
  <c r="AC512"/>
  <c r="G512" s="1"/>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G516" s="1"/>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AC520"/>
  <c r="G520" s="1"/>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G525" s="1"/>
  <c r="AC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AC528"/>
  <c r="G528" s="1"/>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G531" s="1"/>
  <c r="AC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G533" s="1"/>
  <c r="AC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L534" s="1"/>
  <c r="BO534"/>
  <c r="BP534"/>
  <c r="BR534"/>
  <c r="BS534"/>
  <c r="BT534"/>
  <c r="H535"/>
  <c r="AC535"/>
  <c r="G535" s="1"/>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G540" s="1"/>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G543" s="1"/>
  <c r="AC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G551" s="1"/>
  <c r="AC551"/>
  <c r="BB551"/>
  <c r="BC551"/>
  <c r="BD551"/>
  <c r="BE551"/>
  <c r="BF551"/>
  <c r="BG551"/>
  <c r="BH551"/>
  <c r="BI551"/>
  <c r="BJ551"/>
  <c r="BK551"/>
  <c r="BM551"/>
  <c r="BN551"/>
  <c r="BO551"/>
  <c r="BP551"/>
  <c r="BQ551"/>
  <c r="BR551"/>
  <c r="BS551"/>
  <c r="BT551"/>
  <c r="H552"/>
  <c r="G552" s="1"/>
  <c r="AC552"/>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G555" s="1"/>
  <c r="AC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G568" s="1"/>
  <c r="AC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c r="F30"/>
  <c r="AA30"/>
  <c r="C26" i="35"/>
  <c r="C79" s="1"/>
  <c r="J31"/>
  <c r="H31"/>
  <c r="F31"/>
  <c r="D87"/>
  <c r="E87" s="1"/>
  <c r="F87" s="1"/>
  <c r="G87" s="1"/>
  <c r="H87" s="1"/>
  <c r="I87" s="1"/>
  <c r="J87" s="1"/>
  <c r="K87" s="1"/>
  <c r="L87" s="1"/>
  <c r="M87" s="1"/>
  <c r="H34" i="37"/>
  <c r="AB34" s="1"/>
  <c r="D101"/>
  <c r="F34"/>
  <c r="D99"/>
  <c r="E99"/>
  <c r="H42" i="34"/>
  <c r="J42"/>
  <c r="F42"/>
  <c r="J38"/>
  <c r="W38" s="1"/>
  <c r="D114"/>
  <c r="F38"/>
  <c r="S38" s="1"/>
  <c r="D112"/>
  <c r="E112" s="1"/>
  <c r="F112" s="1"/>
  <c r="G112" s="1"/>
  <c r="F40" i="33"/>
  <c r="J41"/>
  <c r="AC41" s="1"/>
  <c r="D113"/>
  <c r="D111"/>
  <c r="E111" s="1"/>
  <c r="S515" i="31"/>
  <c r="S517"/>
  <c r="S519"/>
  <c r="S521"/>
  <c r="S523"/>
  <c r="F41" i="21"/>
  <c r="J41"/>
  <c r="H41"/>
  <c r="U41"/>
  <c r="D83" i="39"/>
  <c r="E83"/>
  <c r="F83"/>
  <c r="G83"/>
  <c r="H83" s="1"/>
  <c r="I83" s="1"/>
  <c r="J83"/>
  <c r="K83" s="1"/>
  <c r="L83"/>
  <c r="M83" s="1"/>
  <c r="D78" i="40"/>
  <c r="F13"/>
  <c r="S13" s="1"/>
  <c r="B122"/>
  <c r="F42"/>
  <c r="AA42"/>
  <c r="B120"/>
  <c r="B118"/>
  <c r="F40"/>
  <c r="AA40" s="1"/>
  <c r="D117"/>
  <c r="E117" s="1"/>
  <c r="F117" s="1"/>
  <c r="G117" s="1"/>
  <c r="H117" s="1"/>
  <c r="I117" s="1"/>
  <c r="J117" s="1"/>
  <c r="K117" s="1"/>
  <c r="L117" s="1"/>
  <c r="M117" s="1"/>
  <c r="D115"/>
  <c r="E115" s="1"/>
  <c r="F115" s="1"/>
  <c r="G115" s="1"/>
  <c r="H115" s="1"/>
  <c r="I115" s="1"/>
  <c r="J115" s="1"/>
  <c r="K115" s="1"/>
  <c r="L115" s="1"/>
  <c r="M115" s="1"/>
  <c r="J38"/>
  <c r="AC38"/>
  <c r="H38"/>
  <c r="AB38" s="1"/>
  <c r="D113"/>
  <c r="E113" s="1"/>
  <c r="F113" s="1"/>
  <c r="M109"/>
  <c r="L109"/>
  <c r="K109"/>
  <c r="J109"/>
  <c r="I109"/>
  <c r="H109"/>
  <c r="G109"/>
  <c r="F109"/>
  <c r="E109"/>
  <c r="D109"/>
  <c r="C109"/>
  <c r="B107"/>
  <c r="B105"/>
  <c r="F34" s="1"/>
  <c r="AA34" s="1"/>
  <c r="B103"/>
  <c r="D102"/>
  <c r="E102" s="1"/>
  <c r="F102" s="1"/>
  <c r="G102"/>
  <c r="H102" s="1"/>
  <c r="I102" s="1"/>
  <c r="J102" s="1"/>
  <c r="K102" s="1"/>
  <c r="L102" s="1"/>
  <c r="M102" s="1"/>
  <c r="D100"/>
  <c r="E100"/>
  <c r="D98"/>
  <c r="E98" s="1"/>
  <c r="B97"/>
  <c r="D94"/>
  <c r="D92"/>
  <c r="D90"/>
  <c r="H21"/>
  <c r="AB21" s="1"/>
  <c r="D88"/>
  <c r="E88" s="1"/>
  <c r="D86"/>
  <c r="E86"/>
  <c r="J17"/>
  <c r="B83"/>
  <c r="F16"/>
  <c r="AA16"/>
  <c r="B81"/>
  <c r="B79"/>
  <c r="F14" s="1"/>
  <c r="AA14" s="1"/>
  <c r="M76"/>
  <c r="L76"/>
  <c r="K76"/>
  <c r="J76"/>
  <c r="I76"/>
  <c r="H76"/>
  <c r="G76"/>
  <c r="F76"/>
  <c r="E76"/>
  <c r="D76"/>
  <c r="C76"/>
  <c r="P45"/>
  <c r="P44"/>
  <c r="V43"/>
  <c r="T43"/>
  <c r="R43"/>
  <c r="P43"/>
  <c r="Q42"/>
  <c r="Z42"/>
  <c r="Q41"/>
  <c r="Z41" s="1"/>
  <c r="Q40"/>
  <c r="Z40" s="1"/>
  <c r="Q39"/>
  <c r="Z39"/>
  <c r="Q38"/>
  <c r="Z38"/>
  <c r="Q37"/>
  <c r="Z37"/>
  <c r="Q36"/>
  <c r="Z36"/>
  <c r="Q35"/>
  <c r="Z35" s="1"/>
  <c r="Q34"/>
  <c r="Z34" s="1"/>
  <c r="Q33"/>
  <c r="Z33"/>
  <c r="Q32"/>
  <c r="Z32"/>
  <c r="Q30"/>
  <c r="Z30"/>
  <c r="Q29"/>
  <c r="Z29"/>
  <c r="Q25"/>
  <c r="Z25" s="1"/>
  <c r="Q23"/>
  <c r="Z23" s="1"/>
  <c r="Q21"/>
  <c r="Z21"/>
  <c r="Q19"/>
  <c r="Z19"/>
  <c r="Q17"/>
  <c r="Z17"/>
  <c r="Q16"/>
  <c r="Z16"/>
  <c r="Q15"/>
  <c r="Z15" s="1"/>
  <c r="Q14"/>
  <c r="Z14" s="1"/>
  <c r="Q13"/>
  <c r="Z13"/>
  <c r="Q12"/>
  <c r="Z12"/>
  <c r="Q11"/>
  <c r="Z11"/>
  <c r="D126" i="39"/>
  <c r="E126"/>
  <c r="F126" s="1"/>
  <c r="G126"/>
  <c r="H126" s="1"/>
  <c r="I126" s="1"/>
  <c r="J126" s="1"/>
  <c r="K126" s="1"/>
  <c r="L126" s="1"/>
  <c r="M126" s="1"/>
  <c r="D122"/>
  <c r="E122" s="1"/>
  <c r="F122" s="1"/>
  <c r="G122" s="1"/>
  <c r="H122" s="1"/>
  <c r="I122" s="1"/>
  <c r="J122" s="1"/>
  <c r="K122" s="1"/>
  <c r="L122" s="1"/>
  <c r="M122" s="1"/>
  <c r="B116"/>
  <c r="D111"/>
  <c r="E111"/>
  <c r="F111" s="1"/>
  <c r="G111" s="1"/>
  <c r="H111"/>
  <c r="I111" s="1"/>
  <c r="J111" s="1"/>
  <c r="K111" s="1"/>
  <c r="L111" s="1"/>
  <c r="M111" s="1"/>
  <c r="D109"/>
  <c r="E109"/>
  <c r="F109"/>
  <c r="G109"/>
  <c r="H109" s="1"/>
  <c r="I109" s="1"/>
  <c r="J109" s="1"/>
  <c r="K109" s="1"/>
  <c r="L109" s="1"/>
  <c r="M109" s="1"/>
  <c r="D107"/>
  <c r="E107"/>
  <c r="F107" s="1"/>
  <c r="G107" s="1"/>
  <c r="H107" s="1"/>
  <c r="I107"/>
  <c r="J107" s="1"/>
  <c r="K107" s="1"/>
  <c r="L107" s="1"/>
  <c r="M107" s="1"/>
  <c r="D103"/>
  <c r="D101"/>
  <c r="E101" s="1"/>
  <c r="F101" s="1"/>
  <c r="G101" s="1"/>
  <c r="Q41"/>
  <c r="Z41"/>
  <c r="Q42"/>
  <c r="Z42" s="1"/>
  <c r="Q43"/>
  <c r="Q44"/>
  <c r="Z44" s="1"/>
  <c r="Q45"/>
  <c r="Z45" s="1"/>
  <c r="Q46"/>
  <c r="Z46"/>
  <c r="Q47"/>
  <c r="Z47"/>
  <c r="Q40"/>
  <c r="Z40"/>
  <c r="Q38"/>
  <c r="Z38"/>
  <c r="Q39"/>
  <c r="Z39" s="1"/>
  <c r="Z43"/>
  <c r="M118"/>
  <c r="L118"/>
  <c r="K118"/>
  <c r="J118"/>
  <c r="I118"/>
  <c r="H118"/>
  <c r="G118"/>
  <c r="F118"/>
  <c r="E118"/>
  <c r="D118"/>
  <c r="C118"/>
  <c r="B133"/>
  <c r="B131"/>
  <c r="B129"/>
  <c r="D128"/>
  <c r="D124"/>
  <c r="E124"/>
  <c r="F124"/>
  <c r="G124"/>
  <c r="H124" s="1"/>
  <c r="I124" s="1"/>
  <c r="J124" s="1"/>
  <c r="K124" s="1"/>
  <c r="L124" s="1"/>
  <c r="M124" s="1"/>
  <c r="B106"/>
  <c r="D99"/>
  <c r="E99" s="1"/>
  <c r="F99" s="1"/>
  <c r="G99" s="1"/>
  <c r="D97"/>
  <c r="D95"/>
  <c r="E95"/>
  <c r="F95"/>
  <c r="G95" s="1"/>
  <c r="D93"/>
  <c r="E93" s="1"/>
  <c r="F93" s="1"/>
  <c r="G93" s="1"/>
  <c r="D91"/>
  <c r="E91"/>
  <c r="F91"/>
  <c r="G91"/>
  <c r="B88"/>
  <c r="B86"/>
  <c r="B84"/>
  <c r="M81"/>
  <c r="L81"/>
  <c r="K81"/>
  <c r="J81"/>
  <c r="I81"/>
  <c r="H81"/>
  <c r="G81"/>
  <c r="F81"/>
  <c r="E81"/>
  <c r="D81"/>
  <c r="C81"/>
  <c r="P50"/>
  <c r="P49"/>
  <c r="V48"/>
  <c r="T48"/>
  <c r="R48"/>
  <c r="P48"/>
  <c r="Q37"/>
  <c r="Z37"/>
  <c r="Q36"/>
  <c r="Z36"/>
  <c r="Q34"/>
  <c r="Z34"/>
  <c r="Q33"/>
  <c r="Z33" s="1"/>
  <c r="Q29"/>
  <c r="Z29" s="1"/>
  <c r="Q27"/>
  <c r="Z27"/>
  <c r="Q25"/>
  <c r="Z25"/>
  <c r="Q23"/>
  <c r="Z23"/>
  <c r="Q21"/>
  <c r="Z21"/>
  <c r="Q19"/>
  <c r="Z19" s="1"/>
  <c r="Q17"/>
  <c r="Z17" s="1"/>
  <c r="Q16"/>
  <c r="Z16"/>
  <c r="Q15"/>
  <c r="Z15"/>
  <c r="Q14"/>
  <c r="Z14"/>
  <c r="Q13"/>
  <c r="Z13"/>
  <c r="Q12"/>
  <c r="Z12" s="1"/>
  <c r="Q11"/>
  <c r="Z11" s="1"/>
  <c r="U10"/>
  <c r="C20" i="36"/>
  <c r="C20" i="35"/>
  <c r="C16" i="36"/>
  <c r="C16" i="35"/>
  <c r="C14" i="36"/>
  <c r="C14" i="35"/>
  <c r="B80" i="37"/>
  <c r="B110"/>
  <c r="J39" s="1"/>
  <c r="AC39" s="1"/>
  <c r="B108"/>
  <c r="C23"/>
  <c r="C19"/>
  <c r="C17"/>
  <c r="C15"/>
  <c r="B112"/>
  <c r="D107"/>
  <c r="E107" s="1"/>
  <c r="D105"/>
  <c r="E105" s="1"/>
  <c r="H36"/>
  <c r="D103"/>
  <c r="J35"/>
  <c r="AC35"/>
  <c r="F97"/>
  <c r="E97"/>
  <c r="D97"/>
  <c r="C97"/>
  <c r="D96"/>
  <c r="E96" s="1"/>
  <c r="D94"/>
  <c r="M90"/>
  <c r="L90"/>
  <c r="K90"/>
  <c r="J90"/>
  <c r="I90"/>
  <c r="H90"/>
  <c r="G90"/>
  <c r="F90"/>
  <c r="E90"/>
  <c r="D90"/>
  <c r="C90"/>
  <c r="D89"/>
  <c r="B86"/>
  <c r="B84"/>
  <c r="H27"/>
  <c r="U27" s="1"/>
  <c r="B82"/>
  <c r="D79"/>
  <c r="E79"/>
  <c r="D75"/>
  <c r="E75"/>
  <c r="F75"/>
  <c r="D73"/>
  <c r="E73"/>
  <c r="F73" s="1"/>
  <c r="G73" s="1"/>
  <c r="D71"/>
  <c r="E71" s="1"/>
  <c r="F71" s="1"/>
  <c r="G71" s="1"/>
  <c r="F15"/>
  <c r="AA15" s="1"/>
  <c r="B68"/>
  <c r="H14"/>
  <c r="U14" s="1"/>
  <c r="B66"/>
  <c r="B64"/>
  <c r="D63"/>
  <c r="E63"/>
  <c r="F63" s="1"/>
  <c r="G63" s="1"/>
  <c r="H63" s="1"/>
  <c r="I63" s="1"/>
  <c r="J63" s="1"/>
  <c r="K63" s="1"/>
  <c r="L63" s="1"/>
  <c r="M63" s="1"/>
  <c r="M61"/>
  <c r="L61"/>
  <c r="K61"/>
  <c r="J61"/>
  <c r="I61"/>
  <c r="H61"/>
  <c r="G61"/>
  <c r="F61"/>
  <c r="E61"/>
  <c r="D61"/>
  <c r="C61"/>
  <c r="F60"/>
  <c r="G60"/>
  <c r="H60" s="1"/>
  <c r="I60" s="1"/>
  <c r="H10"/>
  <c r="U10" s="1"/>
  <c r="C57"/>
  <c r="P43"/>
  <c r="P42"/>
  <c r="V41"/>
  <c r="T41"/>
  <c r="R41"/>
  <c r="P41"/>
  <c r="Q40"/>
  <c r="Z40" s="1"/>
  <c r="Q39"/>
  <c r="Z39"/>
  <c r="Q38"/>
  <c r="Z38"/>
  <c r="Q37"/>
  <c r="Z37"/>
  <c r="Q36"/>
  <c r="Z36"/>
  <c r="Q35"/>
  <c r="Z35" s="1"/>
  <c r="Q34"/>
  <c r="Z34" s="1"/>
  <c r="Q33"/>
  <c r="Z33"/>
  <c r="Q32"/>
  <c r="Z32"/>
  <c r="Q31"/>
  <c r="Z31"/>
  <c r="J31"/>
  <c r="Q30"/>
  <c r="Z30"/>
  <c r="J30"/>
  <c r="W30"/>
  <c r="H30"/>
  <c r="AB30" s="1"/>
  <c r="F30"/>
  <c r="Q29"/>
  <c r="Z29"/>
  <c r="H29"/>
  <c r="U29"/>
  <c r="Q28"/>
  <c r="Z28"/>
  <c r="Q27"/>
  <c r="Z27" s="1"/>
  <c r="Q26"/>
  <c r="Z26" s="1"/>
  <c r="J26"/>
  <c r="H26"/>
  <c r="AB26" s="1"/>
  <c r="F26"/>
  <c r="AA26"/>
  <c r="Q25"/>
  <c r="Z25" s="1"/>
  <c r="Q23"/>
  <c r="Z23" s="1"/>
  <c r="Q19"/>
  <c r="Z19" s="1"/>
  <c r="Q17"/>
  <c r="Z17"/>
  <c r="Q15"/>
  <c r="Z15" s="1"/>
  <c r="Q14"/>
  <c r="Z14"/>
  <c r="Q13"/>
  <c r="Z13"/>
  <c r="Q12"/>
  <c r="Z12" s="1"/>
  <c r="Q11"/>
  <c r="Z11" s="1"/>
  <c r="Q10"/>
  <c r="Z10"/>
  <c r="F10"/>
  <c r="AA10" s="1"/>
  <c r="Q9"/>
  <c r="Z9"/>
  <c r="J8"/>
  <c r="W8"/>
  <c r="H8"/>
  <c r="AB8" s="1"/>
  <c r="F8"/>
  <c r="J31" i="36"/>
  <c r="W31"/>
  <c r="H31"/>
  <c r="AB31" s="1"/>
  <c r="F31"/>
  <c r="S31"/>
  <c r="M86"/>
  <c r="L86"/>
  <c r="K86"/>
  <c r="J86"/>
  <c r="I86"/>
  <c r="H86"/>
  <c r="G86"/>
  <c r="F86"/>
  <c r="E86"/>
  <c r="D86"/>
  <c r="C86"/>
  <c r="D85"/>
  <c r="E85" s="1"/>
  <c r="F85" s="1"/>
  <c r="H29"/>
  <c r="AB29"/>
  <c r="D81"/>
  <c r="E81" s="1"/>
  <c r="F81" s="1"/>
  <c r="G81" s="1"/>
  <c r="H81" s="1"/>
  <c r="I81" s="1"/>
  <c r="J81" s="1"/>
  <c r="K81" s="1"/>
  <c r="L81" s="1"/>
  <c r="M81" s="1"/>
  <c r="F79"/>
  <c r="E79"/>
  <c r="D79"/>
  <c r="C79"/>
  <c r="B93"/>
  <c r="B91"/>
  <c r="F32"/>
  <c r="S32"/>
  <c r="B95"/>
  <c r="D83"/>
  <c r="E83"/>
  <c r="F83" s="1"/>
  <c r="G83" s="1"/>
  <c r="H83" s="1"/>
  <c r="I83" s="1"/>
  <c r="J83" s="1"/>
  <c r="K83" s="1"/>
  <c r="L83" s="1"/>
  <c r="M83" s="1"/>
  <c r="D78"/>
  <c r="J26"/>
  <c r="W26"/>
  <c r="B75"/>
  <c r="J25" s="1"/>
  <c r="B73"/>
  <c r="J24"/>
  <c r="W24" s="1"/>
  <c r="B71"/>
  <c r="D70"/>
  <c r="H22"/>
  <c r="AB22"/>
  <c r="D68"/>
  <c r="E68"/>
  <c r="D64"/>
  <c r="E64"/>
  <c r="F64"/>
  <c r="G64" s="1"/>
  <c r="J16"/>
  <c r="D62"/>
  <c r="E62" s="1"/>
  <c r="B59"/>
  <c r="J13" s="1"/>
  <c r="B57"/>
  <c r="J12"/>
  <c r="B55"/>
  <c r="F54"/>
  <c r="G54" s="1"/>
  <c r="H54" s="1"/>
  <c r="I54" s="1"/>
  <c r="J10"/>
  <c r="W10"/>
  <c r="C51"/>
  <c r="J9" s="1"/>
  <c r="AC9" s="1"/>
  <c r="P37"/>
  <c r="P36"/>
  <c r="V35"/>
  <c r="T35"/>
  <c r="R35"/>
  <c r="P35"/>
  <c r="Q34"/>
  <c r="Z34"/>
  <c r="Q33"/>
  <c r="Z33"/>
  <c r="Q32"/>
  <c r="Z32" s="1"/>
  <c r="Q31"/>
  <c r="Z31"/>
  <c r="Q30"/>
  <c r="Z30"/>
  <c r="Q29"/>
  <c r="Z29"/>
  <c r="Q28"/>
  <c r="Z28"/>
  <c r="J28"/>
  <c r="AC28" s="1"/>
  <c r="Q27"/>
  <c r="Z27" s="1"/>
  <c r="Q26"/>
  <c r="Z26"/>
  <c r="H26"/>
  <c r="AB26"/>
  <c r="Q25"/>
  <c r="Z25"/>
  <c r="Q24"/>
  <c r="Z24"/>
  <c r="H24"/>
  <c r="AB24"/>
  <c r="Q23"/>
  <c r="Z23" s="1"/>
  <c r="J23"/>
  <c r="AC23"/>
  <c r="H23"/>
  <c r="AB23"/>
  <c r="F23"/>
  <c r="AA23"/>
  <c r="Q22"/>
  <c r="Z22"/>
  <c r="J22"/>
  <c r="AC22" s="1"/>
  <c r="Q20"/>
  <c r="Z20" s="1"/>
  <c r="Q16"/>
  <c r="Z16"/>
  <c r="Q14"/>
  <c r="Z14"/>
  <c r="Q13"/>
  <c r="Z13"/>
  <c r="Q12"/>
  <c r="Z12"/>
  <c r="H12"/>
  <c r="U12" s="1"/>
  <c r="Q11"/>
  <c r="Z11" s="1"/>
  <c r="Q10"/>
  <c r="Z10"/>
  <c r="F10"/>
  <c r="AA10" s="1"/>
  <c r="Q9"/>
  <c r="Z9"/>
  <c r="H9"/>
  <c r="AB9"/>
  <c r="F9"/>
  <c r="AA9" s="1"/>
  <c r="J8"/>
  <c r="AC8"/>
  <c r="H8"/>
  <c r="U8" s="1"/>
  <c r="F8"/>
  <c r="AA8"/>
  <c r="D89" i="35"/>
  <c r="H30"/>
  <c r="U30"/>
  <c r="M90"/>
  <c r="L90"/>
  <c r="K90"/>
  <c r="J90"/>
  <c r="I90"/>
  <c r="H90"/>
  <c r="G90"/>
  <c r="F90"/>
  <c r="E90"/>
  <c r="D90"/>
  <c r="C90"/>
  <c r="F85"/>
  <c r="E85"/>
  <c r="D85"/>
  <c r="C85"/>
  <c r="J27"/>
  <c r="W27"/>
  <c r="H27"/>
  <c r="U27"/>
  <c r="F27"/>
  <c r="AA27" s="1"/>
  <c r="J22"/>
  <c r="AC22"/>
  <c r="B101"/>
  <c r="J36" s="1"/>
  <c r="AC36" s="1"/>
  <c r="H36"/>
  <c r="B99"/>
  <c r="B97"/>
  <c r="B77"/>
  <c r="J25" s="1"/>
  <c r="W25" s="1"/>
  <c r="B75"/>
  <c r="J24" s="1"/>
  <c r="AC24" s="1"/>
  <c r="B73"/>
  <c r="J23" s="1"/>
  <c r="B57"/>
  <c r="B61"/>
  <c r="B59"/>
  <c r="F12" s="1"/>
  <c r="AA12" s="1"/>
  <c r="B131" i="34"/>
  <c r="H47" s="1"/>
  <c r="B129"/>
  <c r="B127"/>
  <c r="B99"/>
  <c r="B97"/>
  <c r="J31" s="1"/>
  <c r="B95"/>
  <c r="B93"/>
  <c r="B75"/>
  <c r="B73"/>
  <c r="B71"/>
  <c r="B130" i="33"/>
  <c r="J46" s="1"/>
  <c r="AC46" s="1"/>
  <c r="B128"/>
  <c r="F45" s="1"/>
  <c r="S45" s="1"/>
  <c r="H45"/>
  <c r="U45" s="1"/>
  <c r="B126"/>
  <c r="B98"/>
  <c r="F31"/>
  <c r="AA31" s="1"/>
  <c r="B96"/>
  <c r="B94"/>
  <c r="B74"/>
  <c r="B72"/>
  <c r="B70"/>
  <c r="D96" i="35"/>
  <c r="E96"/>
  <c r="F96" s="1"/>
  <c r="G96" s="1"/>
  <c r="D94"/>
  <c r="D84"/>
  <c r="E84"/>
  <c r="F84"/>
  <c r="G84" s="1"/>
  <c r="H84" s="1"/>
  <c r="I84"/>
  <c r="J84" s="1"/>
  <c r="K84" s="1"/>
  <c r="L84" s="1"/>
  <c r="M84" s="1"/>
  <c r="D80"/>
  <c r="D72"/>
  <c r="D70"/>
  <c r="E70"/>
  <c r="F70"/>
  <c r="G70" s="1"/>
  <c r="D66"/>
  <c r="E66"/>
  <c r="F66" s="1"/>
  <c r="G66" s="1"/>
  <c r="D64"/>
  <c r="E64"/>
  <c r="F64"/>
  <c r="G64" s="1"/>
  <c r="F56"/>
  <c r="G56"/>
  <c r="H56" s="1"/>
  <c r="I56" s="1"/>
  <c r="C53"/>
  <c r="J9" s="1"/>
  <c r="H9"/>
  <c r="AB9" s="1"/>
  <c r="P39"/>
  <c r="P38"/>
  <c r="V37"/>
  <c r="T37"/>
  <c r="R37"/>
  <c r="P37"/>
  <c r="Q36"/>
  <c r="Z36" s="1"/>
  <c r="Q35"/>
  <c r="Z35" s="1"/>
  <c r="Q34"/>
  <c r="Z34"/>
  <c r="J34"/>
  <c r="AC34" s="1"/>
  <c r="H34"/>
  <c r="AB34" s="1"/>
  <c r="F34"/>
  <c r="AA34"/>
  <c r="Q33"/>
  <c r="Z33"/>
  <c r="Q32"/>
  <c r="Z32" s="1"/>
  <c r="H32"/>
  <c r="AB32"/>
  <c r="F32"/>
  <c r="AA32" s="1"/>
  <c r="Q31"/>
  <c r="Z31" s="1"/>
  <c r="AC31"/>
  <c r="AB31"/>
  <c r="AA31"/>
  <c r="Q30"/>
  <c r="Z30"/>
  <c r="Q29"/>
  <c r="Z29"/>
  <c r="Q28"/>
  <c r="Z28"/>
  <c r="J28"/>
  <c r="H28"/>
  <c r="F28"/>
  <c r="AA28"/>
  <c r="Q27"/>
  <c r="Z27" s="1"/>
  <c r="Q26"/>
  <c r="Z26"/>
  <c r="Q25"/>
  <c r="Z25"/>
  <c r="Q24"/>
  <c r="Z24" s="1"/>
  <c r="Q23"/>
  <c r="Z23" s="1"/>
  <c r="AC23"/>
  <c r="Q22"/>
  <c r="Z22" s="1"/>
  <c r="Q20"/>
  <c r="Z20"/>
  <c r="Q16"/>
  <c r="Z16"/>
  <c r="Q14"/>
  <c r="Z14" s="1"/>
  <c r="Q13"/>
  <c r="Z13" s="1"/>
  <c r="Q12"/>
  <c r="Z12"/>
  <c r="Q11"/>
  <c r="Z11"/>
  <c r="Q10"/>
  <c r="Z10"/>
  <c r="Q9"/>
  <c r="Z9" s="1"/>
  <c r="W9"/>
  <c r="F9"/>
  <c r="AA9" s="1"/>
  <c r="J8"/>
  <c r="H8"/>
  <c r="U8" s="1"/>
  <c r="F8"/>
  <c r="AA8"/>
  <c r="D120" i="34"/>
  <c r="E120" s="1"/>
  <c r="F120" s="1"/>
  <c r="G120" s="1"/>
  <c r="H120" s="1"/>
  <c r="I120" s="1"/>
  <c r="J120" s="1"/>
  <c r="K120" s="1"/>
  <c r="L120" s="1"/>
  <c r="M120" s="1"/>
  <c r="D90"/>
  <c r="C15"/>
  <c r="F67"/>
  <c r="G67"/>
  <c r="H67"/>
  <c r="I67" s="1"/>
  <c r="H10"/>
  <c r="AB10" s="1"/>
  <c r="D126"/>
  <c r="E126" s="1"/>
  <c r="F126" s="1"/>
  <c r="G126" s="1"/>
  <c r="D124"/>
  <c r="E124"/>
  <c r="F124" s="1"/>
  <c r="G124" s="1"/>
  <c r="H124" s="1"/>
  <c r="I124" s="1"/>
  <c r="J124" s="1"/>
  <c r="K124" s="1"/>
  <c r="L124" s="1"/>
  <c r="M124" s="1"/>
  <c r="J43"/>
  <c r="W43" s="1"/>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W36" s="1"/>
  <c r="D107"/>
  <c r="E107"/>
  <c r="F35"/>
  <c r="AA35" s="1"/>
  <c r="M103"/>
  <c r="L103"/>
  <c r="K103"/>
  <c r="J103"/>
  <c r="I103"/>
  <c r="H103"/>
  <c r="G103"/>
  <c r="F103"/>
  <c r="E103"/>
  <c r="D103"/>
  <c r="C103"/>
  <c r="D102"/>
  <c r="E102" s="1"/>
  <c r="F102" s="1"/>
  <c r="G102"/>
  <c r="H102" s="1"/>
  <c r="I102" s="1"/>
  <c r="J102" s="1"/>
  <c r="K102" s="1"/>
  <c r="L102" s="1"/>
  <c r="M102" s="1"/>
  <c r="H33"/>
  <c r="U33" s="1"/>
  <c r="D92"/>
  <c r="E92"/>
  <c r="F92" s="1"/>
  <c r="G92" s="1"/>
  <c r="H92"/>
  <c r="I92" s="1"/>
  <c r="J92" s="1"/>
  <c r="K92" s="1"/>
  <c r="L92" s="1"/>
  <c r="M92" s="1"/>
  <c r="B91"/>
  <c r="F28" s="1"/>
  <c r="S28" s="1"/>
  <c r="B89"/>
  <c r="J27"/>
  <c r="W27" s="1"/>
  <c r="D88"/>
  <c r="E88" s="1"/>
  <c r="D86"/>
  <c r="E86" s="1"/>
  <c r="F86" s="1"/>
  <c r="G86" s="1"/>
  <c r="D82"/>
  <c r="E82" s="1"/>
  <c r="D80"/>
  <c r="D78"/>
  <c r="D70"/>
  <c r="E70" s="1"/>
  <c r="F70" s="1"/>
  <c r="G70" s="1"/>
  <c r="H70" s="1"/>
  <c r="I70" s="1"/>
  <c r="J70" s="1"/>
  <c r="K70" s="1"/>
  <c r="L70" s="1"/>
  <c r="M70" s="1"/>
  <c r="M68"/>
  <c r="L68"/>
  <c r="K68"/>
  <c r="J68"/>
  <c r="I68"/>
  <c r="H68"/>
  <c r="G68"/>
  <c r="F68"/>
  <c r="E68"/>
  <c r="D68"/>
  <c r="C68"/>
  <c r="C64"/>
  <c r="F9" s="1"/>
  <c r="AA9" s="1"/>
  <c r="P50"/>
  <c r="P49"/>
  <c r="V48"/>
  <c r="T48"/>
  <c r="R48"/>
  <c r="P48"/>
  <c r="Q47"/>
  <c r="Z47" s="1"/>
  <c r="Q46"/>
  <c r="Z46" s="1"/>
  <c r="Q45"/>
  <c r="Z45" s="1"/>
  <c r="Q44"/>
  <c r="Z44" s="1"/>
  <c r="H44"/>
  <c r="AB44" s="1"/>
  <c r="Q43"/>
  <c r="Z43" s="1"/>
  <c r="F43"/>
  <c r="AA43" s="1"/>
  <c r="Q42"/>
  <c r="Z42"/>
  <c r="Q41"/>
  <c r="Z41" s="1"/>
  <c r="Q40"/>
  <c r="Z40"/>
  <c r="F40"/>
  <c r="S40" s="1"/>
  <c r="Q39"/>
  <c r="Z39"/>
  <c r="J39"/>
  <c r="AC39" s="1"/>
  <c r="H39"/>
  <c r="AB39" s="1"/>
  <c r="F39"/>
  <c r="S39" s="1"/>
  <c r="Q38"/>
  <c r="Z38" s="1"/>
  <c r="Q37"/>
  <c r="Z37"/>
  <c r="Q36"/>
  <c r="Z36"/>
  <c r="Q35"/>
  <c r="Z35" s="1"/>
  <c r="Q34"/>
  <c r="Z34"/>
  <c r="Q33"/>
  <c r="Z33" s="1"/>
  <c r="Q32"/>
  <c r="Z32" s="1"/>
  <c r="Q31"/>
  <c r="Z31"/>
  <c r="Q30"/>
  <c r="Z30"/>
  <c r="Q29"/>
  <c r="Z29" s="1"/>
  <c r="Q28"/>
  <c r="Z28"/>
  <c r="Q27"/>
  <c r="Z27" s="1"/>
  <c r="Q25"/>
  <c r="Z25" s="1"/>
  <c r="Q23"/>
  <c r="Z23"/>
  <c r="C23"/>
  <c r="Q19"/>
  <c r="Z19"/>
  <c r="C19"/>
  <c r="Q17"/>
  <c r="Z17"/>
  <c r="C17"/>
  <c r="Q15"/>
  <c r="Z15" s="1"/>
  <c r="Q14"/>
  <c r="Z14"/>
  <c r="Q13"/>
  <c r="Z13" s="1"/>
  <c r="Q12"/>
  <c r="Z12"/>
  <c r="Q11"/>
  <c r="Z11"/>
  <c r="Q10"/>
  <c r="Z10"/>
  <c r="F10"/>
  <c r="AA10" s="1"/>
  <c r="Q9"/>
  <c r="Z9" s="1"/>
  <c r="J9"/>
  <c r="J8"/>
  <c r="AC8"/>
  <c r="H8"/>
  <c r="U8" s="1"/>
  <c r="F8"/>
  <c r="AA8" s="1"/>
  <c r="C7"/>
  <c r="C59" s="1"/>
  <c r="D121" i="33"/>
  <c r="F109"/>
  <c r="E109"/>
  <c r="D109"/>
  <c r="C109"/>
  <c r="D91"/>
  <c r="B88"/>
  <c r="J26"/>
  <c r="AC26" s="1"/>
  <c r="C23"/>
  <c r="C19"/>
  <c r="C17"/>
  <c r="C15"/>
  <c r="C15" i="21"/>
  <c r="D125" i="33"/>
  <c r="D123"/>
  <c r="D117"/>
  <c r="E117"/>
  <c r="F117"/>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B92"/>
  <c r="B90"/>
  <c r="D87"/>
  <c r="E87" s="1"/>
  <c r="F87" s="1"/>
  <c r="D85"/>
  <c r="E85" s="1"/>
  <c r="D81"/>
  <c r="E81" s="1"/>
  <c r="D79"/>
  <c r="E79" s="1"/>
  <c r="F79" s="1"/>
  <c r="G79" s="1"/>
  <c r="D77"/>
  <c r="E77" s="1"/>
  <c r="D69"/>
  <c r="E69"/>
  <c r="F69"/>
  <c r="G69" s="1"/>
  <c r="H69" s="1"/>
  <c r="I69"/>
  <c r="J69" s="1"/>
  <c r="K69"/>
  <c r="L69" s="1"/>
  <c r="M69" s="1"/>
  <c r="M67"/>
  <c r="L67"/>
  <c r="K67"/>
  <c r="J67"/>
  <c r="I67"/>
  <c r="H67"/>
  <c r="G67"/>
  <c r="F67"/>
  <c r="E67"/>
  <c r="D67"/>
  <c r="C67"/>
  <c r="G66"/>
  <c r="C63"/>
  <c r="H54"/>
  <c r="P49"/>
  <c r="P48"/>
  <c r="V47"/>
  <c r="T47"/>
  <c r="R47"/>
  <c r="P47"/>
  <c r="Q46"/>
  <c r="Z46" s="1"/>
  <c r="Q45"/>
  <c r="Z45" s="1"/>
  <c r="Q44"/>
  <c r="Z44"/>
  <c r="Q43"/>
  <c r="Z43" s="1"/>
  <c r="Q42"/>
  <c r="Z42"/>
  <c r="Q41"/>
  <c r="Z41" s="1"/>
  <c r="Q40"/>
  <c r="Z40"/>
  <c r="J40"/>
  <c r="AC40" s="1"/>
  <c r="H40"/>
  <c r="AA40"/>
  <c r="Q39"/>
  <c r="Z39"/>
  <c r="J39"/>
  <c r="AC39" s="1"/>
  <c r="Q38"/>
  <c r="Z38" s="1"/>
  <c r="J38"/>
  <c r="AC38" s="1"/>
  <c r="H38"/>
  <c r="AB38" s="1"/>
  <c r="F38"/>
  <c r="AA38" s="1"/>
  <c r="Q37"/>
  <c r="Z37" s="1"/>
  <c r="Q36"/>
  <c r="Z36" s="1"/>
  <c r="Q35"/>
  <c r="Z35"/>
  <c r="H35"/>
  <c r="AB35" s="1"/>
  <c r="Q34"/>
  <c r="Z34" s="1"/>
  <c r="Q33"/>
  <c r="Z33"/>
  <c r="Q32"/>
  <c r="Z32" s="1"/>
  <c r="Q31"/>
  <c r="Z31" s="1"/>
  <c r="Q30"/>
  <c r="Z30" s="1"/>
  <c r="Q29"/>
  <c r="Z29" s="1"/>
  <c r="Q28"/>
  <c r="Z28" s="1"/>
  <c r="Q27"/>
  <c r="Z27"/>
  <c r="Q26"/>
  <c r="Z26" s="1"/>
  <c r="Q25"/>
  <c r="Z25"/>
  <c r="Q23"/>
  <c r="Z23" s="1"/>
  <c r="Q19"/>
  <c r="Z19"/>
  <c r="Q17"/>
  <c r="Z17"/>
  <c r="Q15"/>
  <c r="Z15" s="1"/>
  <c r="Q14"/>
  <c r="Z14" s="1"/>
  <c r="Q13"/>
  <c r="Z13"/>
  <c r="Q12"/>
  <c r="Z12" s="1"/>
  <c r="J12"/>
  <c r="W12"/>
  <c r="H12"/>
  <c r="U12"/>
  <c r="F12"/>
  <c r="AA12" s="1"/>
  <c r="Q11"/>
  <c r="Z11" s="1"/>
  <c r="Q10"/>
  <c r="Z10"/>
  <c r="Q9"/>
  <c r="Z9" s="1"/>
  <c r="J8"/>
  <c r="W8" s="1"/>
  <c r="H8"/>
  <c r="U8" s="1"/>
  <c r="F8"/>
  <c r="M102" i="21"/>
  <c r="D102"/>
  <c r="E102"/>
  <c r="F102"/>
  <c r="G102"/>
  <c r="H102"/>
  <c r="I102"/>
  <c r="J102"/>
  <c r="K102"/>
  <c r="L102"/>
  <c r="C102"/>
  <c r="C63"/>
  <c r="G18" i="20"/>
  <c r="B87" i="46"/>
  <c r="C25" i="40"/>
  <c r="G16" i="20"/>
  <c r="B81" i="46"/>
  <c r="G15" i="20"/>
  <c r="C24"/>
  <c r="C21"/>
  <c r="C20"/>
  <c r="B76" i="46" s="1"/>
  <c r="C18" i="20"/>
  <c r="C17"/>
  <c r="B58" i="46" s="1"/>
  <c r="C16" i="20"/>
  <c r="B47" i="46" s="1"/>
  <c r="C15" i="20"/>
  <c r="B69" i="46"/>
  <c r="E54" i="21"/>
  <c r="F54"/>
  <c r="I54"/>
  <c r="J54" s="1"/>
  <c r="G54"/>
  <c r="H54"/>
  <c r="D125"/>
  <c r="E125"/>
  <c r="F125" s="1"/>
  <c r="G125" s="1"/>
  <c r="D123"/>
  <c r="E123" s="1"/>
  <c r="F123"/>
  <c r="G123"/>
  <c r="H123" s="1"/>
  <c r="I123" s="1"/>
  <c r="J123" s="1"/>
  <c r="K123" s="1"/>
  <c r="L123" s="1"/>
  <c r="M123" s="1"/>
  <c r="H42"/>
  <c r="AB42" s="1"/>
  <c r="D119"/>
  <c r="D117"/>
  <c r="E117"/>
  <c r="F117"/>
  <c r="G117" s="1"/>
  <c r="D115"/>
  <c r="E115"/>
  <c r="F115" s="1"/>
  <c r="G115"/>
  <c r="H115" s="1"/>
  <c r="I115" s="1"/>
  <c r="J115" s="1"/>
  <c r="K115" s="1"/>
  <c r="L115" s="1"/>
  <c r="M115" s="1"/>
  <c r="D113"/>
  <c r="E113" s="1"/>
  <c r="F113" s="1"/>
  <c r="G113"/>
  <c r="H113" s="1"/>
  <c r="D110"/>
  <c r="E110"/>
  <c r="F110"/>
  <c r="G110" s="1"/>
  <c r="H110" s="1"/>
  <c r="I110" s="1"/>
  <c r="J110" s="1"/>
  <c r="K110" s="1"/>
  <c r="L110" s="1"/>
  <c r="M110" s="1"/>
  <c r="J36"/>
  <c r="W36" s="1"/>
  <c r="D108"/>
  <c r="E108" s="1"/>
  <c r="F108" s="1"/>
  <c r="G108" s="1"/>
  <c r="H108" s="1"/>
  <c r="I108" s="1"/>
  <c r="J108" s="1"/>
  <c r="K108" s="1"/>
  <c r="L108" s="1"/>
  <c r="M108" s="1"/>
  <c r="D106"/>
  <c r="E106" s="1"/>
  <c r="F106"/>
  <c r="G106" s="1"/>
  <c r="H106" s="1"/>
  <c r="I106"/>
  <c r="J106" s="1"/>
  <c r="K106" s="1"/>
  <c r="L106" s="1"/>
  <c r="M106" s="1"/>
  <c r="D101"/>
  <c r="E101"/>
  <c r="F101"/>
  <c r="G101" s="1"/>
  <c r="H101"/>
  <c r="I101"/>
  <c r="J101"/>
  <c r="K101"/>
  <c r="L101" s="1"/>
  <c r="M101" s="1"/>
  <c r="D89"/>
  <c r="E89"/>
  <c r="F89" s="1"/>
  <c r="G89" s="1"/>
  <c r="H89"/>
  <c r="I89" s="1"/>
  <c r="J89" s="1"/>
  <c r="K89" s="1"/>
  <c r="L89" s="1"/>
  <c r="M89" s="1"/>
  <c r="D67"/>
  <c r="E67"/>
  <c r="F67"/>
  <c r="G67"/>
  <c r="H67"/>
  <c r="I67"/>
  <c r="J67"/>
  <c r="K67"/>
  <c r="L67"/>
  <c r="M67"/>
  <c r="C67"/>
  <c r="D69"/>
  <c r="E69" s="1"/>
  <c r="F69" s="1"/>
  <c r="G69" s="1"/>
  <c r="H69" s="1"/>
  <c r="I69" s="1"/>
  <c r="J69" s="1"/>
  <c r="K69" s="1"/>
  <c r="L69" s="1"/>
  <c r="M69" s="1"/>
  <c r="D66"/>
  <c r="E66" s="1"/>
  <c r="F66" s="1"/>
  <c r="G66" s="1"/>
  <c r="H66" s="1"/>
  <c r="I66"/>
  <c r="D111"/>
  <c r="E111"/>
  <c r="F111"/>
  <c r="C111"/>
  <c r="D79"/>
  <c r="E79"/>
  <c r="F79"/>
  <c r="G79"/>
  <c r="D85"/>
  <c r="E85" s="1"/>
  <c r="D81"/>
  <c r="E81"/>
  <c r="F81"/>
  <c r="G81" s="1"/>
  <c r="D77"/>
  <c r="E77"/>
  <c r="B130"/>
  <c r="B128"/>
  <c r="J45" s="1"/>
  <c r="W45" s="1"/>
  <c r="B126"/>
  <c r="F44" s="1"/>
  <c r="B98"/>
  <c r="B96"/>
  <c r="B94"/>
  <c r="B92"/>
  <c r="B90"/>
  <c r="B74"/>
  <c r="B72"/>
  <c r="B70"/>
  <c r="H12" s="1"/>
  <c r="U12" s="1"/>
  <c r="F12"/>
  <c r="S12" s="1"/>
  <c r="F10"/>
  <c r="AA10" s="1"/>
  <c r="C7"/>
  <c r="C58" s="1"/>
  <c r="C19"/>
  <c r="C17"/>
  <c r="C23"/>
  <c r="Q9"/>
  <c r="Z9" s="1"/>
  <c r="Q10"/>
  <c r="Z10" s="1"/>
  <c r="Q11"/>
  <c r="Z11"/>
  <c r="Q12"/>
  <c r="Z12" s="1"/>
  <c r="Q13"/>
  <c r="Z13" s="1"/>
  <c r="Q14"/>
  <c r="Z14" s="1"/>
  <c r="Q15"/>
  <c r="Z15" s="1"/>
  <c r="Q17"/>
  <c r="Z17"/>
  <c r="Q19"/>
  <c r="Z19"/>
  <c r="Q23"/>
  <c r="Z23" s="1"/>
  <c r="Q25"/>
  <c r="Z25" s="1"/>
  <c r="Q26"/>
  <c r="Z26" s="1"/>
  <c r="Q27"/>
  <c r="Z27" s="1"/>
  <c r="Q28"/>
  <c r="Z28"/>
  <c r="Q29"/>
  <c r="Z29"/>
  <c r="Q30"/>
  <c r="Z30" s="1"/>
  <c r="Q31"/>
  <c r="Z31"/>
  <c r="Q32"/>
  <c r="Z32" s="1"/>
  <c r="Q33"/>
  <c r="Z33" s="1"/>
  <c r="Q34"/>
  <c r="Z34"/>
  <c r="J35"/>
  <c r="W35"/>
  <c r="Q35"/>
  <c r="Z35" s="1"/>
  <c r="Q36"/>
  <c r="Z36"/>
  <c r="Q37"/>
  <c r="Z37"/>
  <c r="J38"/>
  <c r="W38" s="1"/>
  <c r="Q38"/>
  <c r="Z38"/>
  <c r="J39"/>
  <c r="AC39"/>
  <c r="Q39"/>
  <c r="Z39" s="1"/>
  <c r="Q40"/>
  <c r="Z40"/>
  <c r="Q41"/>
  <c r="Z41"/>
  <c r="Q42"/>
  <c r="Z42" s="1"/>
  <c r="J43"/>
  <c r="AC43"/>
  <c r="Q43"/>
  <c r="Z43"/>
  <c r="Q44"/>
  <c r="Z44" s="1"/>
  <c r="Q45"/>
  <c r="Z45" s="1"/>
  <c r="Q46"/>
  <c r="Z46"/>
  <c r="P47"/>
  <c r="R47"/>
  <c r="T47"/>
  <c r="V47"/>
  <c r="P48"/>
  <c r="P49"/>
  <c r="F8"/>
  <c r="AA8" s="1"/>
  <c r="E13" i="11"/>
  <c r="E12"/>
  <c r="C9" i="12"/>
  <c r="BB12" i="3"/>
  <c r="F9" i="12"/>
  <c r="D9"/>
  <c r="E9"/>
  <c r="G9"/>
  <c r="K5" i="3"/>
  <c r="F20" i="6" s="1"/>
  <c r="J5" i="3"/>
  <c r="BE10"/>
  <c r="BD13"/>
  <c r="BE13"/>
  <c r="BF13"/>
  <c r="BF5" s="1"/>
  <c r="BG13"/>
  <c r="BH13"/>
  <c r="BI13"/>
  <c r="BJ13"/>
  <c r="BK13"/>
  <c r="BM13"/>
  <c r="BN13"/>
  <c r="BO13"/>
  <c r="BP13"/>
  <c r="BS13"/>
  <c r="BT13"/>
  <c r="BB570"/>
  <c r="BA570" s="1"/>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A572" s="1"/>
  <c r="BM572"/>
  <c r="BN572"/>
  <c r="BL572" s="1"/>
  <c r="BO572"/>
  <c r="BP572"/>
  <c r="BQ572"/>
  <c r="BR572"/>
  <c r="BS572"/>
  <c r="BT572"/>
  <c r="AC570"/>
  <c r="AC571"/>
  <c r="G571"/>
  <c r="AC572"/>
  <c r="G572" s="1"/>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H572"/>
  <c r="F5"/>
  <c r="G27" i="6"/>
  <c r="F34" i="21"/>
  <c r="AA34"/>
  <c r="H34"/>
  <c r="U34" s="1"/>
  <c r="F43"/>
  <c r="S43" s="1"/>
  <c r="H38"/>
  <c r="AB38" s="1"/>
  <c r="H43"/>
  <c r="AB43" s="1"/>
  <c r="F32"/>
  <c r="F38"/>
  <c r="S38" s="1"/>
  <c r="F36"/>
  <c r="S36" s="1"/>
  <c r="F39"/>
  <c r="AA39"/>
  <c r="J40"/>
  <c r="W40"/>
  <c r="H35"/>
  <c r="AB35"/>
  <c r="J8"/>
  <c r="AC8" s="1"/>
  <c r="H8"/>
  <c r="AB8" s="1"/>
  <c r="H10"/>
  <c r="U10" s="1"/>
  <c r="H39"/>
  <c r="J34"/>
  <c r="W34"/>
  <c r="H36"/>
  <c r="F35"/>
  <c r="AA35" s="1"/>
  <c r="J33"/>
  <c r="W33"/>
  <c r="H33"/>
  <c r="U33"/>
  <c r="F33"/>
  <c r="J10"/>
  <c r="AC10" s="1"/>
  <c r="H26"/>
  <c r="F19"/>
  <c r="AA19" s="1"/>
  <c r="H19"/>
  <c r="AB19" s="1"/>
  <c r="J19"/>
  <c r="W19"/>
  <c r="J12"/>
  <c r="J26"/>
  <c r="W26"/>
  <c r="F26"/>
  <c r="AA26"/>
  <c r="AB41"/>
  <c r="S41"/>
  <c r="AA41"/>
  <c r="S10" i="39"/>
  <c r="U30" i="37"/>
  <c r="E103"/>
  <c r="F103"/>
  <c r="G103" s="1"/>
  <c r="H103" s="1"/>
  <c r="I103" s="1"/>
  <c r="J103" s="1"/>
  <c r="F39"/>
  <c r="AA39" s="1"/>
  <c r="S39"/>
  <c r="F29" i="36"/>
  <c r="AA29"/>
  <c r="F16"/>
  <c r="AA16" s="1"/>
  <c r="U22"/>
  <c r="W23"/>
  <c r="W22"/>
  <c r="U26"/>
  <c r="AC31"/>
  <c r="J33"/>
  <c r="W33"/>
  <c r="AC27" i="35"/>
  <c r="U31"/>
  <c r="S34"/>
  <c r="W36"/>
  <c r="W24"/>
  <c r="S31"/>
  <c r="W31"/>
  <c r="U34"/>
  <c r="F36" i="34"/>
  <c r="S36" s="1"/>
  <c r="W39"/>
  <c r="H39" i="33"/>
  <c r="AB39" s="1"/>
  <c r="F26"/>
  <c r="AA26" s="1"/>
  <c r="S40"/>
  <c r="S8" i="21"/>
  <c r="H39" i="37"/>
  <c r="AB39" s="1"/>
  <c r="AB27" i="35"/>
  <c r="S10" i="40"/>
  <c r="W10"/>
  <c r="S11"/>
  <c r="U11"/>
  <c r="S36"/>
  <c r="U36"/>
  <c r="S40" i="39"/>
  <c r="S36"/>
  <c r="F11" i="21"/>
  <c r="S11" s="1"/>
  <c r="AC40"/>
  <c r="AA38"/>
  <c r="AC35"/>
  <c r="C29" i="39"/>
  <c r="U36"/>
  <c r="S42"/>
  <c r="H11" i="21"/>
  <c r="U11" s="1"/>
  <c r="J11"/>
  <c r="W11" s="1"/>
  <c r="F100" i="40"/>
  <c r="F86"/>
  <c r="G86" s="1"/>
  <c r="J27" i="36"/>
  <c r="W27" s="1"/>
  <c r="J30" i="35"/>
  <c r="W30" s="1"/>
  <c r="F22"/>
  <c r="AA22"/>
  <c r="H10"/>
  <c r="U10"/>
  <c r="AC24" i="36"/>
  <c r="U29"/>
  <c r="U24"/>
  <c r="G85"/>
  <c r="H85" s="1"/>
  <c r="I85" s="1"/>
  <c r="J85" s="1"/>
  <c r="K85" s="1"/>
  <c r="L85" s="1"/>
  <c r="M85" s="1"/>
  <c r="J29"/>
  <c r="AC29"/>
  <c r="F12"/>
  <c r="S12"/>
  <c r="F24"/>
  <c r="AA24"/>
  <c r="F34"/>
  <c r="S34" s="1"/>
  <c r="S10"/>
  <c r="AB8"/>
  <c r="H16" i="35"/>
  <c r="H33"/>
  <c r="AB33" s="1"/>
  <c r="W8"/>
  <c r="AC8"/>
  <c r="F35" i="37"/>
  <c r="E101"/>
  <c r="F101" s="1"/>
  <c r="G101" s="1"/>
  <c r="H101" s="1"/>
  <c r="I101" s="1"/>
  <c r="J101" s="1"/>
  <c r="K101" s="1"/>
  <c r="L101" s="1"/>
  <c r="M101" s="1"/>
  <c r="J34"/>
  <c r="W34"/>
  <c r="H43" i="34"/>
  <c r="U43" s="1"/>
  <c r="U42"/>
  <c r="E114"/>
  <c r="F114" s="1"/>
  <c r="G114" s="1"/>
  <c r="H114" s="1"/>
  <c r="I114" s="1"/>
  <c r="J114" s="1"/>
  <c r="K114" s="1"/>
  <c r="L114" s="1"/>
  <c r="M114" s="1"/>
  <c r="H36"/>
  <c r="U36" s="1"/>
  <c r="F33"/>
  <c r="S33" s="1"/>
  <c r="J10"/>
  <c r="AC10" s="1"/>
  <c r="W8"/>
  <c r="J28"/>
  <c r="W28" s="1"/>
  <c r="S38" i="33"/>
  <c r="E113"/>
  <c r="F113" s="1"/>
  <c r="G113" s="1"/>
  <c r="F37" s="1"/>
  <c r="AA37" s="1"/>
  <c r="S10" i="21"/>
  <c r="W40" i="33"/>
  <c r="AB30" i="36"/>
  <c r="S22" i="35"/>
  <c r="H29"/>
  <c r="U34" i="37"/>
  <c r="S34"/>
  <c r="AA34"/>
  <c r="AB42" i="34"/>
  <c r="H37" i="33"/>
  <c r="AB37" s="1"/>
  <c r="AC42" i="34"/>
  <c r="W42"/>
  <c r="AA42"/>
  <c r="S42"/>
  <c r="AC38"/>
  <c r="AA38"/>
  <c r="J37" i="33"/>
  <c r="W37" s="1"/>
  <c r="J42" i="21"/>
  <c r="AC42" s="1"/>
  <c r="J44" i="34"/>
  <c r="AC44" s="1"/>
  <c r="F44"/>
  <c r="S44" s="1"/>
  <c r="J10" i="35"/>
  <c r="W10" s="1"/>
  <c r="AL5" i="3"/>
  <c r="BQ13"/>
  <c r="J14" i="21"/>
  <c r="F14"/>
  <c r="AA14" s="1"/>
  <c r="H14"/>
  <c r="U14" s="1"/>
  <c r="H28"/>
  <c r="AB28"/>
  <c r="F28"/>
  <c r="J28"/>
  <c r="AC28" s="1"/>
  <c r="H30"/>
  <c r="U30"/>
  <c r="F30"/>
  <c r="S30"/>
  <c r="J30"/>
  <c r="W30" s="1"/>
  <c r="J44"/>
  <c r="AC44" s="1"/>
  <c r="H44"/>
  <c r="U44" s="1"/>
  <c r="AA44"/>
  <c r="H46"/>
  <c r="AB46"/>
  <c r="J46"/>
  <c r="W46"/>
  <c r="F46"/>
  <c r="AA46"/>
  <c r="H26" i="33"/>
  <c r="U26" s="1"/>
  <c r="H28"/>
  <c r="U28" s="1"/>
  <c r="F28"/>
  <c r="AA28" s="1"/>
  <c r="J28"/>
  <c r="W28" s="1"/>
  <c r="F33" i="35"/>
  <c r="S33"/>
  <c r="J33"/>
  <c r="W33"/>
  <c r="F30"/>
  <c r="AA30" s="1"/>
  <c r="E89"/>
  <c r="F89"/>
  <c r="G89"/>
  <c r="H89" s="1"/>
  <c r="I89" s="1"/>
  <c r="J89" s="1"/>
  <c r="K89" s="1"/>
  <c r="L89"/>
  <c r="M89" s="1"/>
  <c r="H10" i="36"/>
  <c r="AB10" s="1"/>
  <c r="F28"/>
  <c r="S28" s="1"/>
  <c r="F27"/>
  <c r="S27"/>
  <c r="H13" i="21"/>
  <c r="U13"/>
  <c r="J13"/>
  <c r="AC13" s="1"/>
  <c r="F13"/>
  <c r="AA13"/>
  <c r="H27"/>
  <c r="AB27"/>
  <c r="J27"/>
  <c r="W27"/>
  <c r="F27"/>
  <c r="AA27" s="1"/>
  <c r="J29"/>
  <c r="AC29"/>
  <c r="H29"/>
  <c r="U29" s="1"/>
  <c r="F29"/>
  <c r="S29" s="1"/>
  <c r="J31"/>
  <c r="AC31" s="1"/>
  <c r="H31"/>
  <c r="U31" s="1"/>
  <c r="F31"/>
  <c r="S31" s="1"/>
  <c r="J27" i="33"/>
  <c r="AC27" s="1"/>
  <c r="F13"/>
  <c r="J29"/>
  <c r="W29" s="1"/>
  <c r="J31"/>
  <c r="AC31" s="1"/>
  <c r="H31"/>
  <c r="U31" s="1"/>
  <c r="S31"/>
  <c r="J45"/>
  <c r="W45" s="1"/>
  <c r="F11" i="35"/>
  <c r="S11"/>
  <c r="H28" i="36"/>
  <c r="H32"/>
  <c r="AB32"/>
  <c r="J32"/>
  <c r="J11"/>
  <c r="W11" s="1"/>
  <c r="H13"/>
  <c r="AB13"/>
  <c r="W13"/>
  <c r="F13"/>
  <c r="S13"/>
  <c r="E89" i="37"/>
  <c r="F89"/>
  <c r="G89" s="1"/>
  <c r="H89" s="1"/>
  <c r="I89"/>
  <c r="J89" s="1"/>
  <c r="K89" s="1"/>
  <c r="L89" s="1"/>
  <c r="M89" s="1"/>
  <c r="J29"/>
  <c r="W29"/>
  <c r="F29"/>
  <c r="AA29" s="1"/>
  <c r="F105"/>
  <c r="AB36"/>
  <c r="F107"/>
  <c r="G107" s="1"/>
  <c r="H107" s="1"/>
  <c r="I107" s="1"/>
  <c r="J107" s="1"/>
  <c r="K107" s="1"/>
  <c r="J37"/>
  <c r="AC37" s="1"/>
  <c r="H37"/>
  <c r="U37"/>
  <c r="H40"/>
  <c r="U40"/>
  <c r="J40"/>
  <c r="F40"/>
  <c r="AA40" s="1"/>
  <c r="H14" i="33"/>
  <c r="U14"/>
  <c r="F14"/>
  <c r="AA14"/>
  <c r="J14"/>
  <c r="AC14"/>
  <c r="H30"/>
  <c r="F30"/>
  <c r="S30"/>
  <c r="J30"/>
  <c r="H44"/>
  <c r="U44" s="1"/>
  <c r="J44"/>
  <c r="AC44"/>
  <c r="F44"/>
  <c r="S44" s="1"/>
  <c r="F46"/>
  <c r="H46"/>
  <c r="AB46" s="1"/>
  <c r="H13" i="34"/>
  <c r="U13"/>
  <c r="J13"/>
  <c r="W13"/>
  <c r="F13"/>
  <c r="AA13"/>
  <c r="J29"/>
  <c r="AC29" s="1"/>
  <c r="F29"/>
  <c r="S29"/>
  <c r="H29"/>
  <c r="U29" s="1"/>
  <c r="AC31"/>
  <c r="H31"/>
  <c r="F31"/>
  <c r="S31" s="1"/>
  <c r="H45"/>
  <c r="U45" s="1"/>
  <c r="J45"/>
  <c r="W45"/>
  <c r="F45"/>
  <c r="AA45"/>
  <c r="U47"/>
  <c r="F47"/>
  <c r="AA47"/>
  <c r="F13" i="35"/>
  <c r="S13"/>
  <c r="J13"/>
  <c r="AC13" s="1"/>
  <c r="H13"/>
  <c r="U13"/>
  <c r="AC25"/>
  <c r="H25"/>
  <c r="J35"/>
  <c r="AC35" s="1"/>
  <c r="F35"/>
  <c r="S35" s="1"/>
  <c r="H35"/>
  <c r="U35"/>
  <c r="W25" i="36"/>
  <c r="F25"/>
  <c r="AA25" s="1"/>
  <c r="H25"/>
  <c r="AB25"/>
  <c r="H13" i="37"/>
  <c r="AB13"/>
  <c r="F13"/>
  <c r="S13"/>
  <c r="J13"/>
  <c r="AC13" s="1"/>
  <c r="F28"/>
  <c r="AA28"/>
  <c r="J28"/>
  <c r="AC28" s="1"/>
  <c r="H28"/>
  <c r="U28"/>
  <c r="H38"/>
  <c r="AB38"/>
  <c r="J38"/>
  <c r="AC38"/>
  <c r="F38"/>
  <c r="S38" s="1"/>
  <c r="F14"/>
  <c r="AA14"/>
  <c r="F27"/>
  <c r="J14"/>
  <c r="W14"/>
  <c r="J27"/>
  <c r="W27"/>
  <c r="AA38"/>
  <c r="AB13" i="35"/>
  <c r="AB40" i="37"/>
  <c r="J36"/>
  <c r="AC36"/>
  <c r="G105"/>
  <c r="AB31" i="21"/>
  <c r="AB13"/>
  <c r="S46"/>
  <c r="U46"/>
  <c r="AC30"/>
  <c r="AB30"/>
  <c r="S28"/>
  <c r="AA28"/>
  <c r="W31" i="34"/>
  <c r="U36" i="37"/>
  <c r="AC13" i="36"/>
  <c r="AB31" i="33"/>
  <c r="U28" i="21"/>
  <c r="AB44"/>
  <c r="S19"/>
  <c r="G529" i="3"/>
  <c r="G521"/>
  <c r="G517"/>
  <c r="G513"/>
  <c r="G508"/>
  <c r="G499"/>
  <c r="G493"/>
  <c r="G485"/>
  <c r="G17"/>
  <c r="G565"/>
  <c r="G561"/>
  <c r="G557"/>
  <c r="G549"/>
  <c r="G545"/>
  <c r="G539"/>
  <c r="BL569"/>
  <c r="AZ569" s="1"/>
  <c r="BL561"/>
  <c r="BL557"/>
  <c r="BL553"/>
  <c r="BL545"/>
  <c r="BL535"/>
  <c r="BL527"/>
  <c r="BL519"/>
  <c r="BL511"/>
  <c r="BL501"/>
  <c r="AZ501" s="1"/>
  <c r="BL491"/>
  <c r="BL483"/>
  <c r="G16"/>
  <c r="BL563"/>
  <c r="BL559"/>
  <c r="BL555"/>
  <c r="BL551"/>
  <c r="BL541"/>
  <c r="AZ541" s="1"/>
  <c r="BL533"/>
  <c r="BL525"/>
  <c r="G518"/>
  <c r="G514"/>
  <c r="G510"/>
  <c r="BL503"/>
  <c r="BL495"/>
  <c r="BL485"/>
  <c r="G18"/>
  <c r="BA569"/>
  <c r="BA565"/>
  <c r="BA561"/>
  <c r="AZ561" s="1"/>
  <c r="BA559"/>
  <c r="AZ559" s="1"/>
  <c r="BA557"/>
  <c r="AZ557" s="1"/>
  <c r="BA555"/>
  <c r="AZ555" s="1"/>
  <c r="BA551"/>
  <c r="AZ551" s="1"/>
  <c r="BA545"/>
  <c r="BA543"/>
  <c r="BA541"/>
  <c r="BA531"/>
  <c r="BA521"/>
  <c r="BA509"/>
  <c r="BA505"/>
  <c r="BA501"/>
  <c r="BA493"/>
  <c r="AZ493"/>
  <c r="BA487"/>
  <c r="BA19"/>
  <c r="BA566"/>
  <c r="BA562"/>
  <c r="BA560"/>
  <c r="AZ560" s="1"/>
  <c r="BA558"/>
  <c r="AZ558" s="1"/>
  <c r="BA556"/>
  <c r="AZ556" s="1"/>
  <c r="BA554"/>
  <c r="BA550"/>
  <c r="BA546"/>
  <c r="BA544"/>
  <c r="AZ544" s="1"/>
  <c r="BA540"/>
  <c r="BA536"/>
  <c r="BA532"/>
  <c r="BA528"/>
  <c r="BA524"/>
  <c r="BA520"/>
  <c r="AZ520"/>
  <c r="BA516"/>
  <c r="BA512"/>
  <c r="BA508"/>
  <c r="BA502"/>
  <c r="AZ502" s="1"/>
  <c r="BA498"/>
  <c r="BA492"/>
  <c r="BA488"/>
  <c r="AZ488" s="1"/>
  <c r="BA484"/>
  <c r="AZ484" s="1"/>
  <c r="BA20"/>
  <c r="AZ545"/>
  <c r="G566"/>
  <c r="G562"/>
  <c r="G560"/>
  <c r="G558"/>
  <c r="G556"/>
  <c r="G554"/>
  <c r="G550"/>
  <c r="G546"/>
  <c r="BL543"/>
  <c r="AZ543" s="1"/>
  <c r="BA542"/>
  <c r="AZ542" s="1"/>
  <c r="AC542"/>
  <c r="G542"/>
  <c r="BQ542"/>
  <c r="BL542"/>
  <c r="BQ568"/>
  <c r="BQ566"/>
  <c r="BQ564"/>
  <c r="BL564"/>
  <c r="BQ562"/>
  <c r="BL562" s="1"/>
  <c r="AZ562" s="1"/>
  <c r="BQ560"/>
  <c r="BL560"/>
  <c r="BQ558"/>
  <c r="BL558"/>
  <c r="BQ556"/>
  <c r="BL556" s="1"/>
  <c r="BQ554"/>
  <c r="BQ552"/>
  <c r="BL552" s="1"/>
  <c r="BQ550"/>
  <c r="BL550"/>
  <c r="BQ548"/>
  <c r="BQ546"/>
  <c r="BL546" s="1"/>
  <c r="BQ544"/>
  <c r="BL544" s="1"/>
  <c r="G544"/>
  <c r="G538"/>
  <c r="G534"/>
  <c r="G530"/>
  <c r="G526"/>
  <c r="G522"/>
  <c r="BQ540"/>
  <c r="BL540"/>
  <c r="AZ540" s="1"/>
  <c r="BQ538"/>
  <c r="BL538"/>
  <c r="BQ536"/>
  <c r="BQ534"/>
  <c r="BQ532"/>
  <c r="BL532"/>
  <c r="AZ532" s="1"/>
  <c r="BQ530"/>
  <c r="BQ528"/>
  <c r="BQ526"/>
  <c r="BL526" s="1"/>
  <c r="BQ524"/>
  <c r="BL524" s="1"/>
  <c r="BQ522"/>
  <c r="BQ520"/>
  <c r="BL520" s="1"/>
  <c r="BQ518"/>
  <c r="BQ516"/>
  <c r="BL516"/>
  <c r="AZ516" s="1"/>
  <c r="BQ514"/>
  <c r="BL514" s="1"/>
  <c r="BQ512"/>
  <c r="BQ510"/>
  <c r="BL510"/>
  <c r="BQ508"/>
  <c r="BL508"/>
  <c r="AC506"/>
  <c r="G506" s="1"/>
  <c r="BQ506"/>
  <c r="G502"/>
  <c r="G498"/>
  <c r="BQ504"/>
  <c r="BQ502"/>
  <c r="BL502"/>
  <c r="BQ500"/>
  <c r="BL500"/>
  <c r="BQ498"/>
  <c r="BQ496"/>
  <c r="AC494"/>
  <c r="BQ494"/>
  <c r="BL493"/>
  <c r="G492"/>
  <c r="G488"/>
  <c r="G484"/>
  <c r="G20"/>
  <c r="BQ492"/>
  <c r="BL492" s="1"/>
  <c r="AZ492" s="1"/>
  <c r="BQ490"/>
  <c r="BQ488"/>
  <c r="BL488"/>
  <c r="BQ486"/>
  <c r="BQ484"/>
  <c r="BL484"/>
  <c r="BQ482"/>
  <c r="BL482"/>
  <c r="BQ20"/>
  <c r="BL20" s="1"/>
  <c r="AZ20"/>
  <c r="BQ18"/>
  <c r="S505" i="31"/>
  <c r="S503"/>
  <c r="S501"/>
  <c r="S499"/>
  <c r="O27"/>
  <c r="O28"/>
  <c r="O26"/>
  <c r="M27"/>
  <c r="M28"/>
  <c r="M26"/>
  <c r="I26"/>
  <c r="I25"/>
  <c r="S25"/>
  <c r="Q26"/>
  <c r="K26"/>
  <c r="I27"/>
  <c r="Q27"/>
  <c r="K27"/>
  <c r="I28"/>
  <c r="Q28"/>
  <c r="K28"/>
  <c r="AA12" i="21"/>
  <c r="H25"/>
  <c r="U25" s="1"/>
  <c r="F25"/>
  <c r="S25" s="1"/>
  <c r="J25"/>
  <c r="AC25"/>
  <c r="E125" i="33"/>
  <c r="F125" s="1"/>
  <c r="G125" s="1"/>
  <c r="H43"/>
  <c r="U43" s="1"/>
  <c r="H17" i="37"/>
  <c r="U17" s="1"/>
  <c r="F23"/>
  <c r="F79"/>
  <c r="G79" s="1"/>
  <c r="AB27"/>
  <c r="F39" i="33"/>
  <c r="AA39" s="1"/>
  <c r="E123"/>
  <c r="F123" s="1"/>
  <c r="F22" i="36"/>
  <c r="S22"/>
  <c r="H35" i="34"/>
  <c r="U35" s="1"/>
  <c r="F41"/>
  <c r="S41" s="1"/>
  <c r="H41"/>
  <c r="U41" s="1"/>
  <c r="J41"/>
  <c r="W41" s="1"/>
  <c r="F10" i="35"/>
  <c r="AA10"/>
  <c r="F24"/>
  <c r="AA24"/>
  <c r="H24"/>
  <c r="AB24" s="1"/>
  <c r="H23" i="37"/>
  <c r="AB23" s="1"/>
  <c r="J32"/>
  <c r="AC32" s="1"/>
  <c r="F36"/>
  <c r="S36"/>
  <c r="F37"/>
  <c r="AA37"/>
  <c r="U23"/>
  <c r="J43" i="33"/>
  <c r="AC43" s="1"/>
  <c r="J23" i="37"/>
  <c r="W23"/>
  <c r="F17"/>
  <c r="AA17"/>
  <c r="D3" i="21"/>
  <c r="AC33" i="36"/>
  <c r="W23" i="35"/>
  <c r="AC23" i="37"/>
  <c r="U39"/>
  <c r="AC8"/>
  <c r="AC45" i="33"/>
  <c r="U19" i="21"/>
  <c r="AC33"/>
  <c r="F43" i="33"/>
  <c r="AA43" s="1"/>
  <c r="S10" i="35"/>
  <c r="L107" i="37"/>
  <c r="M107" s="1"/>
  <c r="F37" i="21"/>
  <c r="S37"/>
  <c r="J37"/>
  <c r="W37"/>
  <c r="J10" i="37"/>
  <c r="W10"/>
  <c r="F36" i="35"/>
  <c r="S36"/>
  <c r="J9" i="37"/>
  <c r="W9"/>
  <c r="H9"/>
  <c r="U9" s="1"/>
  <c r="F9"/>
  <c r="S9"/>
  <c r="F11"/>
  <c r="S11"/>
  <c r="J12"/>
  <c r="AC12"/>
  <c r="H12"/>
  <c r="AB12"/>
  <c r="F12"/>
  <c r="AA12"/>
  <c r="H15"/>
  <c r="E94"/>
  <c r="F31"/>
  <c r="S31" s="1"/>
  <c r="F94"/>
  <c r="G94" s="1"/>
  <c r="H94" s="1"/>
  <c r="I94" s="1"/>
  <c r="J94" s="1"/>
  <c r="K94" s="1"/>
  <c r="L94" s="1"/>
  <c r="M94" s="1"/>
  <c r="H31"/>
  <c r="U31" s="1"/>
  <c r="J15"/>
  <c r="W15" s="1"/>
  <c r="U12"/>
  <c r="AB10"/>
  <c r="J11"/>
  <c r="W11" s="1"/>
  <c r="E90" i="40"/>
  <c r="F21"/>
  <c r="S21"/>
  <c r="W36"/>
  <c r="U40" i="39"/>
  <c r="F90" i="40"/>
  <c r="G90" s="1"/>
  <c r="J21"/>
  <c r="AC21"/>
  <c r="S27" i="31"/>
  <c r="G483" i="3"/>
  <c r="G515"/>
  <c r="G507"/>
  <c r="G501"/>
  <c r="BA15"/>
  <c r="BL17"/>
  <c r="BL15"/>
  <c r="BA14"/>
  <c r="AZ14" s="1"/>
  <c r="J57" i="39"/>
  <c r="H13" i="40"/>
  <c r="U13"/>
  <c r="I4" i="4"/>
  <c r="K141" i="21"/>
  <c r="K143"/>
  <c r="K144"/>
  <c r="I59" i="40"/>
  <c r="C59" s="1"/>
  <c r="I60"/>
  <c r="C60" s="1"/>
  <c r="G297" i="3"/>
  <c r="BL298"/>
  <c r="G299"/>
  <c r="BL300"/>
  <c r="BA302"/>
  <c r="AZ302"/>
  <c r="BA303"/>
  <c r="BL303"/>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G359"/>
  <c r="BA360"/>
  <c r="AZ360"/>
  <c r="BA361"/>
  <c r="AZ361" s="1"/>
  <c r="BL361"/>
  <c r="G362"/>
  <c r="BA363"/>
  <c r="AZ363" s="1"/>
  <c r="G371"/>
  <c r="BL372"/>
  <c r="G373"/>
  <c r="BL374"/>
  <c r="BA376"/>
  <c r="AZ376"/>
  <c r="BA377"/>
  <c r="AZ377"/>
  <c r="BL377"/>
  <c r="G378"/>
  <c r="BA379"/>
  <c r="AZ379" s="1"/>
  <c r="BA114"/>
  <c r="AZ114"/>
  <c r="BL115"/>
  <c r="AZ115"/>
  <c r="G116"/>
  <c r="BA118"/>
  <c r="AZ118"/>
  <c r="BL119"/>
  <c r="G120"/>
  <c r="BA122"/>
  <c r="BL123"/>
  <c r="AZ123"/>
  <c r="G124"/>
  <c r="BA126"/>
  <c r="AZ126" s="1"/>
  <c r="BL127"/>
  <c r="G128"/>
  <c r="BA130"/>
  <c r="BL131"/>
  <c r="AZ131" s="1"/>
  <c r="G132"/>
  <c r="BA134"/>
  <c r="BL135"/>
  <c r="G136"/>
  <c r="BA138"/>
  <c r="AZ138"/>
  <c r="BL139"/>
  <c r="G140"/>
  <c r="BA142"/>
  <c r="BL143"/>
  <c r="G144"/>
  <c r="BA146"/>
  <c r="AZ146"/>
  <c r="BL147"/>
  <c r="AZ147"/>
  <c r="G148"/>
  <c r="BA150"/>
  <c r="BL151"/>
  <c r="BA153"/>
  <c r="BL154"/>
  <c r="G155"/>
  <c r="BA157"/>
  <c r="AZ157" s="1"/>
  <c r="BL158"/>
  <c r="G159"/>
  <c r="BA161"/>
  <c r="AZ161"/>
  <c r="BL162"/>
  <c r="G163"/>
  <c r="BA165"/>
  <c r="BL166"/>
  <c r="G167"/>
  <c r="BA169"/>
  <c r="AZ169" s="1"/>
  <c r="BL170"/>
  <c r="G171"/>
  <c r="BA173"/>
  <c r="AZ173"/>
  <c r="BL174"/>
  <c r="AZ174" s="1"/>
  <c r="G175"/>
  <c r="BA178"/>
  <c r="BL179"/>
  <c r="G180"/>
  <c r="AZ23"/>
  <c r="AZ27"/>
  <c r="AZ31"/>
  <c r="AZ35"/>
  <c r="AZ59"/>
  <c r="G537"/>
  <c r="BL181"/>
  <c r="G182"/>
  <c r="BA184"/>
  <c r="AZ184"/>
  <c r="BL185"/>
  <c r="G186"/>
  <c r="BA188"/>
  <c r="AZ188" s="1"/>
  <c r="BL189"/>
  <c r="G190"/>
  <c r="BA192"/>
  <c r="AZ192"/>
  <c r="BL193"/>
  <c r="AZ193" s="1"/>
  <c r="G194"/>
  <c r="BA196"/>
  <c r="AZ196"/>
  <c r="BL197"/>
  <c r="G198"/>
  <c r="BA200"/>
  <c r="AZ200"/>
  <c r="BL201"/>
  <c r="AZ66"/>
  <c r="AZ70"/>
  <c r="AZ82"/>
  <c r="AZ201"/>
  <c r="AZ84"/>
  <c r="AZ98"/>
  <c r="G491"/>
  <c r="BA298"/>
  <c r="AZ298"/>
  <c r="BA299"/>
  <c r="BL299"/>
  <c r="G300"/>
  <c r="G303"/>
  <c r="BL304"/>
  <c r="BA306"/>
  <c r="AZ306" s="1"/>
  <c r="BA307"/>
  <c r="BL307"/>
  <c r="AZ307"/>
  <c r="G308"/>
  <c r="G319"/>
  <c r="BL320"/>
  <c r="BA322"/>
  <c r="AZ322" s="1"/>
  <c r="BA323"/>
  <c r="AZ323"/>
  <c r="BL323"/>
  <c r="G324"/>
  <c r="G327"/>
  <c r="BL328"/>
  <c r="BA330"/>
  <c r="AZ330"/>
  <c r="BA331"/>
  <c r="AZ331" s="1"/>
  <c r="BL331"/>
  <c r="G332"/>
  <c r="G335"/>
  <c r="BL336"/>
  <c r="AZ336" s="1"/>
  <c r="BA338"/>
  <c r="AZ338" s="1"/>
  <c r="BA339"/>
  <c r="BL339"/>
  <c r="G340"/>
  <c r="G343"/>
  <c r="BL344"/>
  <c r="BA346"/>
  <c r="AZ346" s="1"/>
  <c r="BA347"/>
  <c r="BL347"/>
  <c r="G348"/>
  <c r="G351"/>
  <c r="BL352"/>
  <c r="BA354"/>
  <c r="AZ354" s="1"/>
  <c r="BA355"/>
  <c r="BL355"/>
  <c r="AZ355" s="1"/>
  <c r="G356"/>
  <c r="BA358"/>
  <c r="AZ358" s="1"/>
  <c r="BA359"/>
  <c r="AZ359" s="1"/>
  <c r="BL359"/>
  <c r="G360"/>
  <c r="G361"/>
  <c r="BL362"/>
  <c r="BA364"/>
  <c r="AZ364"/>
  <c r="BA365"/>
  <c r="AZ365"/>
  <c r="BL365"/>
  <c r="G366"/>
  <c r="G369"/>
  <c r="BL370"/>
  <c r="BA372"/>
  <c r="AZ372"/>
  <c r="BA373"/>
  <c r="BL373"/>
  <c r="AZ373"/>
  <c r="G374"/>
  <c r="G377"/>
  <c r="BL378"/>
  <c r="BA380"/>
  <c r="AZ380"/>
  <c r="BA381"/>
  <c r="AZ381"/>
  <c r="BL381"/>
  <c r="G382"/>
  <c r="G385"/>
  <c r="AZ158"/>
  <c r="AZ166"/>
  <c r="AZ183"/>
  <c r="AZ203"/>
  <c r="G523"/>
  <c r="BL297"/>
  <c r="G298"/>
  <c r="BA300"/>
  <c r="BL301"/>
  <c r="AZ301" s="1"/>
  <c r="G302"/>
  <c r="BA304"/>
  <c r="AZ304"/>
  <c r="BL305"/>
  <c r="G306"/>
  <c r="BA308"/>
  <c r="AZ308"/>
  <c r="BL309"/>
  <c r="AZ309" s="1"/>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BL337"/>
  <c r="AZ337" s="1"/>
  <c r="G338"/>
  <c r="BA340"/>
  <c r="AZ340"/>
  <c r="BL341"/>
  <c r="G342"/>
  <c r="BA344"/>
  <c r="AZ344"/>
  <c r="BL345"/>
  <c r="G346"/>
  <c r="BA348"/>
  <c r="AZ348"/>
  <c r="BL349"/>
  <c r="AZ349" s="1"/>
  <c r="G350"/>
  <c r="BA352"/>
  <c r="AZ352"/>
  <c r="BL353"/>
  <c r="G354"/>
  <c r="BA356"/>
  <c r="AZ356"/>
  <c r="BL357"/>
  <c r="G358"/>
  <c r="BA362"/>
  <c r="AZ362"/>
  <c r="BL363"/>
  <c r="G364"/>
  <c r="BA366"/>
  <c r="AZ366"/>
  <c r="BL367"/>
  <c r="AZ209"/>
  <c r="AZ213"/>
  <c r="AZ217"/>
  <c r="AZ233"/>
  <c r="AZ321"/>
  <c r="AZ353"/>
  <c r="AZ367"/>
  <c r="G368"/>
  <c r="BA370"/>
  <c r="AZ370" s="1"/>
  <c r="BL371"/>
  <c r="AZ371"/>
  <c r="G372"/>
  <c r="BA374"/>
  <c r="AZ374"/>
  <c r="BL375"/>
  <c r="G376"/>
  <c r="BA378"/>
  <c r="AZ378" s="1"/>
  <c r="BL379"/>
  <c r="G380"/>
  <c r="BA382"/>
  <c r="AZ382"/>
  <c r="BL383"/>
  <c r="G384"/>
  <c r="AZ261"/>
  <c r="AZ375"/>
  <c r="AZ383"/>
  <c r="AZ270"/>
  <c r="AZ286"/>
  <c r="AZ290"/>
  <c r="AZ303"/>
  <c r="AZ311"/>
  <c r="AZ313"/>
  <c r="AZ319"/>
  <c r="AZ339"/>
  <c r="AZ369"/>
  <c r="AZ385"/>
  <c r="AZ394"/>
  <c r="AZ398"/>
  <c r="AZ422"/>
  <c r="AZ430"/>
  <c r="AZ438"/>
  <c r="AZ446"/>
  <c r="AZ450"/>
  <c r="AZ455"/>
  <c r="AZ459"/>
  <c r="AZ475"/>
  <c r="AZ479"/>
  <c r="H7" i="48"/>
  <c r="F33" i="46"/>
  <c r="H16" i="48"/>
  <c r="H9"/>
  <c r="H8"/>
  <c r="C12" i="46"/>
  <c r="U43" i="21"/>
  <c r="AA13" i="40"/>
  <c r="E78"/>
  <c r="F78"/>
  <c r="G78"/>
  <c r="H78"/>
  <c r="I78" s="1"/>
  <c r="J78" s="1"/>
  <c r="K78"/>
  <c r="L78" s="1"/>
  <c r="M78" s="1"/>
  <c r="R16" i="4"/>
  <c r="P16"/>
  <c r="D3" i="35"/>
  <c r="G4" i="4"/>
  <c r="J16" i="35"/>
  <c r="W16" s="1"/>
  <c r="U42" i="21"/>
  <c r="AC26" i="36"/>
  <c r="AZ300" i="3"/>
  <c r="H13" i="39"/>
  <c r="AB13"/>
  <c r="F13"/>
  <c r="J13"/>
  <c r="AC13"/>
  <c r="AA36" i="35"/>
  <c r="H11" i="37"/>
  <c r="AB11" s="1"/>
  <c r="W37"/>
  <c r="AA30" i="33"/>
  <c r="AA36" i="37"/>
  <c r="AB17"/>
  <c r="AZ508" i="3"/>
  <c r="AC29" i="33"/>
  <c r="AA45"/>
  <c r="AC10" i="36"/>
  <c r="AC14" i="37"/>
  <c r="AB35" i="35"/>
  <c r="W44" i="33"/>
  <c r="AC30"/>
  <c r="W30"/>
  <c r="AC29" i="37"/>
  <c r="W32" i="36"/>
  <c r="AC32"/>
  <c r="AB28" i="33"/>
  <c r="J33" i="34"/>
  <c r="AC33" s="1"/>
  <c r="J40"/>
  <c r="W40" s="1"/>
  <c r="F16" i="35"/>
  <c r="AA16" s="1"/>
  <c r="S24" i="36"/>
  <c r="J35" i="34"/>
  <c r="AC35" s="1"/>
  <c r="F107"/>
  <c r="G107"/>
  <c r="H107" s="1"/>
  <c r="I107" s="1"/>
  <c r="J107" s="1"/>
  <c r="K107" s="1"/>
  <c r="L107" s="1"/>
  <c r="M107" s="1"/>
  <c r="S30" i="36"/>
  <c r="H16"/>
  <c r="AB16"/>
  <c r="K103" i="37"/>
  <c r="L103" s="1"/>
  <c r="M103" s="1"/>
  <c r="H35"/>
  <c r="AB35" s="1"/>
  <c r="S26" i="21"/>
  <c r="AB12"/>
  <c r="H32"/>
  <c r="U32" s="1"/>
  <c r="AA33"/>
  <c r="S33"/>
  <c r="J32"/>
  <c r="AC32" s="1"/>
  <c r="G13" i="3"/>
  <c r="AC5"/>
  <c r="F17" i="21"/>
  <c r="S17" s="1"/>
  <c r="H17"/>
  <c r="AB17"/>
  <c r="J17"/>
  <c r="AC17"/>
  <c r="H37"/>
  <c r="U37" s="1"/>
  <c r="F40"/>
  <c r="S40" s="1"/>
  <c r="H40"/>
  <c r="AB40" s="1"/>
  <c r="E119"/>
  <c r="F119" s="1"/>
  <c r="G119" s="1"/>
  <c r="H119" s="1"/>
  <c r="I119" s="1"/>
  <c r="J119" s="1"/>
  <c r="K119" s="1"/>
  <c r="L119" s="1"/>
  <c r="M119" s="1"/>
  <c r="AA8" i="33"/>
  <c r="S8"/>
  <c r="H66"/>
  <c r="F10"/>
  <c r="AA10" s="1"/>
  <c r="F11"/>
  <c r="S11" s="1"/>
  <c r="F35"/>
  <c r="AA35" s="1"/>
  <c r="F11" i="34"/>
  <c r="S11" s="1"/>
  <c r="E80"/>
  <c r="AC27"/>
  <c r="S12" i="35"/>
  <c r="AB28"/>
  <c r="U28"/>
  <c r="J13" i="33"/>
  <c r="W13" s="1"/>
  <c r="H13"/>
  <c r="U13"/>
  <c r="H29"/>
  <c r="AB29" s="1"/>
  <c r="F29"/>
  <c r="AA29" s="1"/>
  <c r="J12" i="34"/>
  <c r="AC12" s="1"/>
  <c r="H12"/>
  <c r="AB12" s="1"/>
  <c r="F12"/>
  <c r="S12" s="1"/>
  <c r="J14"/>
  <c r="W14" s="1"/>
  <c r="F14"/>
  <c r="S14"/>
  <c r="H14"/>
  <c r="AB14"/>
  <c r="H30"/>
  <c r="AB30" s="1"/>
  <c r="F30"/>
  <c r="S30" s="1"/>
  <c r="J30"/>
  <c r="W30" s="1"/>
  <c r="H32"/>
  <c r="AB32" s="1"/>
  <c r="F32"/>
  <c r="AA32"/>
  <c r="J32"/>
  <c r="W32"/>
  <c r="H46"/>
  <c r="AB46" s="1"/>
  <c r="F46"/>
  <c r="AA46" s="1"/>
  <c r="J46"/>
  <c r="AC46" s="1"/>
  <c r="H11" i="35"/>
  <c r="J11"/>
  <c r="AC11" s="1"/>
  <c r="F96" i="37"/>
  <c r="H32"/>
  <c r="AB32"/>
  <c r="F19" i="39"/>
  <c r="S19" s="1"/>
  <c r="H19"/>
  <c r="AB19" s="1"/>
  <c r="J19"/>
  <c r="W19" s="1"/>
  <c r="F43"/>
  <c r="H43"/>
  <c r="U43"/>
  <c r="J43"/>
  <c r="F99" i="37"/>
  <c r="G99" s="1"/>
  <c r="AC27"/>
  <c r="S45" i="34"/>
  <c r="AC40" i="37"/>
  <c r="W40"/>
  <c r="AC45" i="21"/>
  <c r="S28" i="33"/>
  <c r="S14" i="21"/>
  <c r="AB29" i="35"/>
  <c r="U29"/>
  <c r="AB43" i="34"/>
  <c r="AC34" i="37"/>
  <c r="S35"/>
  <c r="AA35"/>
  <c r="AB10" i="35"/>
  <c r="AA32" i="21"/>
  <c r="S32"/>
  <c r="U38"/>
  <c r="AB34"/>
  <c r="BL571" i="3"/>
  <c r="BA571"/>
  <c r="AZ571" s="1"/>
  <c r="BL570"/>
  <c r="BE5"/>
  <c r="F42" i="21"/>
  <c r="AA42" s="1"/>
  <c r="AB40" i="33"/>
  <c r="U40"/>
  <c r="S35" i="34"/>
  <c r="E90"/>
  <c r="F90" s="1"/>
  <c r="H27"/>
  <c r="AB27" s="1"/>
  <c r="AB8" i="35"/>
  <c r="S9"/>
  <c r="J14"/>
  <c r="AC14" s="1"/>
  <c r="F14"/>
  <c r="S14" s="1"/>
  <c r="H14"/>
  <c r="U14"/>
  <c r="E80"/>
  <c r="E94"/>
  <c r="F94"/>
  <c r="G94" s="1"/>
  <c r="H94" s="1"/>
  <c r="I94" s="1"/>
  <c r="J94" s="1"/>
  <c r="K94" s="1"/>
  <c r="L94" s="1"/>
  <c r="M94" s="1"/>
  <c r="J32"/>
  <c r="AC32"/>
  <c r="H11" i="36"/>
  <c r="AB11" s="1"/>
  <c r="F11"/>
  <c r="S11" s="1"/>
  <c r="W16"/>
  <c r="AC16"/>
  <c r="E78"/>
  <c r="F78" s="1"/>
  <c r="G78" s="1"/>
  <c r="H78" s="1"/>
  <c r="I78" s="1"/>
  <c r="J78"/>
  <c r="K78" s="1"/>
  <c r="L78" s="1"/>
  <c r="M78" s="1"/>
  <c r="F26"/>
  <c r="S26"/>
  <c r="H33"/>
  <c r="U33" s="1"/>
  <c r="F33"/>
  <c r="AA33" s="1"/>
  <c r="H27"/>
  <c r="AB27"/>
  <c r="AA31"/>
  <c r="AC26" i="37"/>
  <c r="W26"/>
  <c r="AB29"/>
  <c r="AA30"/>
  <c r="S30"/>
  <c r="AC30"/>
  <c r="AC31"/>
  <c r="W31"/>
  <c r="AB14"/>
  <c r="F17" i="39"/>
  <c r="AA17" s="1"/>
  <c r="H17"/>
  <c r="U17" s="1"/>
  <c r="J17"/>
  <c r="W17" s="1"/>
  <c r="F21"/>
  <c r="S21" s="1"/>
  <c r="H21"/>
  <c r="J21"/>
  <c r="W21" s="1"/>
  <c r="F33"/>
  <c r="H33"/>
  <c r="U33" s="1"/>
  <c r="J33"/>
  <c r="F44"/>
  <c r="S44"/>
  <c r="H44"/>
  <c r="U44"/>
  <c r="J44"/>
  <c r="W44"/>
  <c r="E128"/>
  <c r="F128" s="1"/>
  <c r="G128" s="1"/>
  <c r="H128" s="1"/>
  <c r="I128" s="1"/>
  <c r="J128" s="1"/>
  <c r="K128" s="1"/>
  <c r="L128" s="1"/>
  <c r="M128" s="1"/>
  <c r="F46"/>
  <c r="S46" s="1"/>
  <c r="H46"/>
  <c r="U46"/>
  <c r="J46"/>
  <c r="W46"/>
  <c r="F29"/>
  <c r="AA29" s="1"/>
  <c r="E103"/>
  <c r="F103" s="1"/>
  <c r="G103" s="1"/>
  <c r="H29"/>
  <c r="U29"/>
  <c r="F34"/>
  <c r="AA34" s="1"/>
  <c r="H34"/>
  <c r="J34"/>
  <c r="AC34" s="1"/>
  <c r="F39"/>
  <c r="H39"/>
  <c r="AB39"/>
  <c r="J39"/>
  <c r="J29" i="35"/>
  <c r="AC29"/>
  <c r="F29"/>
  <c r="S29" s="1"/>
  <c r="W30" i="36"/>
  <c r="AC30"/>
  <c r="F37" i="39"/>
  <c r="AA37" s="1"/>
  <c r="S37"/>
  <c r="H37"/>
  <c r="U37"/>
  <c r="J37"/>
  <c r="W37"/>
  <c r="BL568" i="3"/>
  <c r="BA568"/>
  <c r="AZ568" s="1"/>
  <c r="BL567"/>
  <c r="BA567"/>
  <c r="AZ567" s="1"/>
  <c r="BL566"/>
  <c r="AZ566" s="1"/>
  <c r="BL565"/>
  <c r="AZ565"/>
  <c r="BA564"/>
  <c r="AZ564"/>
  <c r="BA563"/>
  <c r="AZ563"/>
  <c r="BL554"/>
  <c r="AZ554" s="1"/>
  <c r="BA553"/>
  <c r="AZ553" s="1"/>
  <c r="BA552"/>
  <c r="AZ552" s="1"/>
  <c r="BL549"/>
  <c r="BA549"/>
  <c r="AZ549" s="1"/>
  <c r="BL548"/>
  <c r="BA548"/>
  <c r="BL547"/>
  <c r="BA547"/>
  <c r="BL539"/>
  <c r="BA539"/>
  <c r="AZ539"/>
  <c r="BA538"/>
  <c r="AZ538"/>
  <c r="BL537"/>
  <c r="BA537"/>
  <c r="BL536"/>
  <c r="AZ536" s="1"/>
  <c r="BA535"/>
  <c r="AZ535" s="1"/>
  <c r="BA534"/>
  <c r="AZ534" s="1"/>
  <c r="BA533"/>
  <c r="AZ533"/>
  <c r="BL531"/>
  <c r="AZ531"/>
  <c r="BL530"/>
  <c r="BA530"/>
  <c r="BL529"/>
  <c r="BA529"/>
  <c r="AZ529" s="1"/>
  <c r="BL528"/>
  <c r="BA527"/>
  <c r="AZ527" s="1"/>
  <c r="BA526"/>
  <c r="AZ526"/>
  <c r="BA525"/>
  <c r="AZ525"/>
  <c r="BL523"/>
  <c r="AZ523" s="1"/>
  <c r="BA523"/>
  <c r="BL522"/>
  <c r="BA522"/>
  <c r="BL521"/>
  <c r="AZ521" s="1"/>
  <c r="BA519"/>
  <c r="AZ519"/>
  <c r="BL518"/>
  <c r="BA518"/>
  <c r="AZ518"/>
  <c r="BL517"/>
  <c r="BA517"/>
  <c r="AZ517" s="1"/>
  <c r="BL515"/>
  <c r="AZ515" s="1"/>
  <c r="BA515"/>
  <c r="BA514"/>
  <c r="AZ514" s="1"/>
  <c r="BL513"/>
  <c r="BA513"/>
  <c r="AZ513" s="1"/>
  <c r="BL512"/>
  <c r="AZ512"/>
  <c r="BA511"/>
  <c r="AZ511"/>
  <c r="BA510"/>
  <c r="AZ510"/>
  <c r="BL509"/>
  <c r="AZ509"/>
  <c r="BL507"/>
  <c r="BA507"/>
  <c r="AZ507"/>
  <c r="BL506"/>
  <c r="BA506"/>
  <c r="AZ506"/>
  <c r="BL505"/>
  <c r="AZ505"/>
  <c r="BL504"/>
  <c r="BA504"/>
  <c r="BA503"/>
  <c r="AZ503"/>
  <c r="BA500"/>
  <c r="AZ500" s="1"/>
  <c r="BL499"/>
  <c r="AZ499" s="1"/>
  <c r="BA499"/>
  <c r="BL498"/>
  <c r="AZ498" s="1"/>
  <c r="BL497"/>
  <c r="BA497"/>
  <c r="BL496"/>
  <c r="AZ496" s="1"/>
  <c r="BA496"/>
  <c r="BA495"/>
  <c r="AZ495" s="1"/>
  <c r="BL494"/>
  <c r="BA494"/>
  <c r="AZ494"/>
  <c r="G494"/>
  <c r="BA491"/>
  <c r="AZ491"/>
  <c r="BL490"/>
  <c r="BA490"/>
  <c r="BL489"/>
  <c r="BA489"/>
  <c r="BL487"/>
  <c r="AZ487" s="1"/>
  <c r="BL486"/>
  <c r="BA486"/>
  <c r="BA485"/>
  <c r="AZ485"/>
  <c r="BA483"/>
  <c r="AZ483" s="1"/>
  <c r="BA482"/>
  <c r="AZ482"/>
  <c r="BL481"/>
  <c r="BJ5"/>
  <c r="BA481"/>
  <c r="AZ481" s="1"/>
  <c r="BL19"/>
  <c r="AZ19" s="1"/>
  <c r="BA18"/>
  <c r="F36" i="44"/>
  <c r="H38" i="34"/>
  <c r="U38" s="1"/>
  <c r="H30" i="40"/>
  <c r="AB30" s="1"/>
  <c r="G100"/>
  <c r="J30"/>
  <c r="AC30" s="1"/>
  <c r="F38"/>
  <c r="AA38" s="1"/>
  <c r="AC12" i="21"/>
  <c r="W12"/>
  <c r="AB33"/>
  <c r="S35"/>
  <c r="U8"/>
  <c r="S34"/>
  <c r="AC36"/>
  <c r="AB8" i="33"/>
  <c r="E106"/>
  <c r="H34"/>
  <c r="U34" s="1"/>
  <c r="F34"/>
  <c r="S34" s="1"/>
  <c r="E121"/>
  <c r="F41"/>
  <c r="S41" s="1"/>
  <c r="AA39" i="34"/>
  <c r="E78"/>
  <c r="F15"/>
  <c r="S15" s="1"/>
  <c r="AC28" i="35"/>
  <c r="W28"/>
  <c r="J20"/>
  <c r="AC20"/>
  <c r="E72"/>
  <c r="F72"/>
  <c r="G72"/>
  <c r="H22"/>
  <c r="AB22"/>
  <c r="H23"/>
  <c r="U23" s="1"/>
  <c r="F23"/>
  <c r="AA23"/>
  <c r="AB36"/>
  <c r="U36"/>
  <c r="W12" i="36"/>
  <c r="AC12"/>
  <c r="U31"/>
  <c r="S8" i="37"/>
  <c r="AA8"/>
  <c r="F14" i="39"/>
  <c r="AA14"/>
  <c r="H14"/>
  <c r="AB14" s="1"/>
  <c r="J14"/>
  <c r="W14" s="1"/>
  <c r="AC14"/>
  <c r="F16"/>
  <c r="H16"/>
  <c r="U16" s="1"/>
  <c r="J16"/>
  <c r="AC16"/>
  <c r="F23"/>
  <c r="AA23"/>
  <c r="E97"/>
  <c r="F27"/>
  <c r="AA27"/>
  <c r="H27"/>
  <c r="U27" s="1"/>
  <c r="J27"/>
  <c r="AC27"/>
  <c r="F15" i="40"/>
  <c r="AA15"/>
  <c r="J15"/>
  <c r="H15"/>
  <c r="AB15" s="1"/>
  <c r="E92"/>
  <c r="F92" s="1"/>
  <c r="H23"/>
  <c r="U23" s="1"/>
  <c r="H41"/>
  <c r="U41" s="1"/>
  <c r="F41"/>
  <c r="AA41" s="1"/>
  <c r="J41"/>
  <c r="F15" i="39"/>
  <c r="AA15"/>
  <c r="H15"/>
  <c r="U15"/>
  <c r="J15"/>
  <c r="AC15"/>
  <c r="H25"/>
  <c r="U25" s="1"/>
  <c r="J25"/>
  <c r="AC25" s="1"/>
  <c r="F25"/>
  <c r="AA25" s="1"/>
  <c r="F45"/>
  <c r="AA45" s="1"/>
  <c r="H45"/>
  <c r="U45"/>
  <c r="J45"/>
  <c r="AC45"/>
  <c r="F47"/>
  <c r="AA47"/>
  <c r="H47"/>
  <c r="U47" s="1"/>
  <c r="AB47"/>
  <c r="J47"/>
  <c r="W47" s="1"/>
  <c r="F41"/>
  <c r="AA41" s="1"/>
  <c r="H41"/>
  <c r="AB41"/>
  <c r="J41"/>
  <c r="AC41"/>
  <c r="E94" i="40"/>
  <c r="F94" s="1"/>
  <c r="G94" s="1"/>
  <c r="J25"/>
  <c r="AC25"/>
  <c r="H33"/>
  <c r="AB33" s="1"/>
  <c r="F33"/>
  <c r="J33"/>
  <c r="AC33"/>
  <c r="H35"/>
  <c r="AB35" s="1"/>
  <c r="F35"/>
  <c r="AA35" s="1"/>
  <c r="J35"/>
  <c r="AC35"/>
  <c r="J38" i="39"/>
  <c r="W38" s="1"/>
  <c r="H38"/>
  <c r="U38" s="1"/>
  <c r="J16" i="40"/>
  <c r="W16" s="1"/>
  <c r="J14"/>
  <c r="W14"/>
  <c r="H42"/>
  <c r="AB42" s="1"/>
  <c r="H40"/>
  <c r="U40" s="1"/>
  <c r="H34"/>
  <c r="U34"/>
  <c r="AZ403" i="3"/>
  <c r="AZ407"/>
  <c r="AZ415"/>
  <c r="AZ431"/>
  <c r="AZ439"/>
  <c r="AZ454"/>
  <c r="J42" i="40"/>
  <c r="AC42"/>
  <c r="J40"/>
  <c r="AC40" s="1"/>
  <c r="J34"/>
  <c r="AC34" s="1"/>
  <c r="H16"/>
  <c r="U16" s="1"/>
  <c r="AB16"/>
  <c r="H14"/>
  <c r="U14" s="1"/>
  <c r="AZ428" i="3"/>
  <c r="AZ444"/>
  <c r="AZ449"/>
  <c r="AZ452"/>
  <c r="M1" i="46"/>
  <c r="M6"/>
  <c r="M10"/>
  <c r="N2"/>
  <c r="N5"/>
  <c r="F58"/>
  <c r="H61" s="1"/>
  <c r="N7"/>
  <c r="AZ458" i="3"/>
  <c r="AZ461"/>
  <c r="AZ474"/>
  <c r="AZ212"/>
  <c r="AZ215"/>
  <c r="AZ223"/>
  <c r="AZ228"/>
  <c r="AZ236"/>
  <c r="AZ239"/>
  <c r="AZ247"/>
  <c r="AZ263"/>
  <c r="AZ124"/>
  <c r="M7" i="46"/>
  <c r="M11"/>
  <c r="N3"/>
  <c r="N6"/>
  <c r="N10"/>
  <c r="AZ24" i="3"/>
  <c r="AZ32"/>
  <c r="AZ40"/>
  <c r="AZ48"/>
  <c r="AZ112"/>
  <c r="J13" i="40"/>
  <c r="W13" s="1"/>
  <c r="AB14"/>
  <c r="W40"/>
  <c r="AC14"/>
  <c r="W35"/>
  <c r="AC47" i="39"/>
  <c r="S47"/>
  <c r="AC41" i="40"/>
  <c r="W41"/>
  <c r="J23"/>
  <c r="W23" s="1"/>
  <c r="G92"/>
  <c r="F23"/>
  <c r="S23" s="1"/>
  <c r="AC15"/>
  <c r="W15"/>
  <c r="W27" i="39"/>
  <c r="S23"/>
  <c r="AB16"/>
  <c r="H20" i="35"/>
  <c r="U20" s="1"/>
  <c r="F20"/>
  <c r="AA20" s="1"/>
  <c r="S20"/>
  <c r="H15" i="34"/>
  <c r="AB15" s="1"/>
  <c r="F78"/>
  <c r="G78"/>
  <c r="J15"/>
  <c r="W15" s="1"/>
  <c r="H41" i="33"/>
  <c r="AB41" s="1"/>
  <c r="F121"/>
  <c r="G121" s="1"/>
  <c r="H121" s="1"/>
  <c r="I121"/>
  <c r="J121" s="1"/>
  <c r="K121" s="1"/>
  <c r="L121" s="1"/>
  <c r="M121" s="1"/>
  <c r="F30" i="40"/>
  <c r="S30" s="1"/>
  <c r="AA30"/>
  <c r="H100"/>
  <c r="I100"/>
  <c r="J100"/>
  <c r="K100" s="1"/>
  <c r="L100" s="1"/>
  <c r="M100" s="1"/>
  <c r="AZ486" i="3"/>
  <c r="AZ497"/>
  <c r="AZ504"/>
  <c r="AZ530"/>
  <c r="AZ537"/>
  <c r="AZ547"/>
  <c r="AZ548"/>
  <c r="AB37" i="39"/>
  <c r="AA29" i="35"/>
  <c r="U39" i="39"/>
  <c r="J29"/>
  <c r="AC29"/>
  <c r="AB21"/>
  <c r="U21"/>
  <c r="AB17"/>
  <c r="AB33" i="36"/>
  <c r="AA11"/>
  <c r="AA14" i="35"/>
  <c r="F33" i="37"/>
  <c r="AA33" s="1"/>
  <c r="U19" i="39"/>
  <c r="AC30" i="34"/>
  <c r="AA14"/>
  <c r="W12"/>
  <c r="AC13" i="33"/>
  <c r="AA11" i="34"/>
  <c r="AA11" i="33"/>
  <c r="U17" i="21"/>
  <c r="S13" i="39"/>
  <c r="AA13"/>
  <c r="AB34" i="40"/>
  <c r="AC16"/>
  <c r="H25"/>
  <c r="AB25" s="1"/>
  <c r="W15" i="39"/>
  <c r="S41" i="40"/>
  <c r="AB23"/>
  <c r="H23" i="39"/>
  <c r="AB23"/>
  <c r="J23"/>
  <c r="AC23" s="1"/>
  <c r="F97"/>
  <c r="G97" s="1"/>
  <c r="F106" i="33"/>
  <c r="G106"/>
  <c r="H106" s="1"/>
  <c r="I106" s="1"/>
  <c r="J106" s="1"/>
  <c r="K106" s="1"/>
  <c r="L106" s="1"/>
  <c r="M106" s="1"/>
  <c r="J34"/>
  <c r="AC34" s="1"/>
  <c r="W29" i="35"/>
  <c r="AC39" i="39"/>
  <c r="W39"/>
  <c r="AA39"/>
  <c r="S39"/>
  <c r="AB29"/>
  <c r="AB46"/>
  <c r="AB44"/>
  <c r="AC33"/>
  <c r="W33"/>
  <c r="U11" i="36"/>
  <c r="F80" i="35"/>
  <c r="G80" s="1"/>
  <c r="H80" s="1"/>
  <c r="I80" s="1"/>
  <c r="J80" s="1"/>
  <c r="K80" s="1"/>
  <c r="L80" s="1"/>
  <c r="M80" s="1"/>
  <c r="W14"/>
  <c r="G90" i="34"/>
  <c r="H90"/>
  <c r="I90" s="1"/>
  <c r="J90" s="1"/>
  <c r="K90" s="1"/>
  <c r="L90" s="1"/>
  <c r="M90" s="1"/>
  <c r="F27"/>
  <c r="S27" s="1"/>
  <c r="AC43" i="39"/>
  <c r="W43"/>
  <c r="AA19"/>
  <c r="G96" i="37"/>
  <c r="H96"/>
  <c r="I96"/>
  <c r="J96" s="1"/>
  <c r="K96"/>
  <c r="L96" s="1"/>
  <c r="M96" s="1"/>
  <c r="F32"/>
  <c r="S32" s="1"/>
  <c r="U11" i="35"/>
  <c r="AB11"/>
  <c r="U32" i="34"/>
  <c r="U14"/>
  <c r="U12"/>
  <c r="AB13" i="33"/>
  <c r="F17" i="34"/>
  <c r="AA17" s="1"/>
  <c r="J17"/>
  <c r="AC17" s="1"/>
  <c r="H11"/>
  <c r="AB11" s="1"/>
  <c r="J35" i="33"/>
  <c r="W35" s="1"/>
  <c r="H11"/>
  <c r="U11" s="1"/>
  <c r="H10"/>
  <c r="U10" s="1"/>
  <c r="I66"/>
  <c r="J10"/>
  <c r="AC10" s="1"/>
  <c r="U11" i="37"/>
  <c r="U13" i="39"/>
  <c r="AC16" i="35"/>
  <c r="AC13" i="40"/>
  <c r="J11" i="34"/>
  <c r="W11" s="1"/>
  <c r="F25" i="40"/>
  <c r="AA25" s="1"/>
  <c r="J11" i="33"/>
  <c r="W11" s="1"/>
  <c r="H33" i="37"/>
  <c r="AB33"/>
  <c r="AP11" i="1"/>
  <c r="B11"/>
  <c r="E11" s="1"/>
  <c r="K11"/>
  <c r="M11" s="1"/>
  <c r="O11" s="1"/>
  <c r="P11" s="1"/>
  <c r="B9"/>
  <c r="E9" s="1"/>
  <c r="K9"/>
  <c r="M9" s="1"/>
  <c r="B7"/>
  <c r="E7"/>
  <c r="F6"/>
  <c r="AP6" s="1"/>
  <c r="M22" i="44"/>
  <c r="AC25" i="36"/>
  <c r="S23"/>
  <c r="S8"/>
  <c r="AA26"/>
  <c r="AA28"/>
  <c r="U25"/>
  <c r="H20"/>
  <c r="U20"/>
  <c r="F68"/>
  <c r="G68" s="1"/>
  <c r="J20"/>
  <c r="AC20" s="1"/>
  <c r="F20"/>
  <c r="S20"/>
  <c r="F62"/>
  <c r="G62"/>
  <c r="J14"/>
  <c r="W14" s="1"/>
  <c r="H14"/>
  <c r="U14" s="1"/>
  <c r="F14"/>
  <c r="AA14" s="1"/>
  <c r="W20"/>
  <c r="U27"/>
  <c r="U32"/>
  <c r="AB12"/>
  <c r="U9"/>
  <c r="S33"/>
  <c r="AA27"/>
  <c r="S16"/>
  <c r="S29"/>
  <c r="AC33" i="35"/>
  <c r="U22"/>
  <c r="AA13"/>
  <c r="AC9"/>
  <c r="S8"/>
  <c r="U33"/>
  <c r="W20"/>
  <c r="S23"/>
  <c r="S16"/>
  <c r="AB14"/>
  <c r="AC10"/>
  <c r="U9"/>
  <c r="W13"/>
  <c r="AC18"/>
  <c r="W18"/>
  <c r="U18"/>
  <c r="AB18"/>
  <c r="S30"/>
  <c r="AA35"/>
  <c r="AB30"/>
  <c r="S27"/>
  <c r="S28"/>
  <c r="J26"/>
  <c r="F26"/>
  <c r="AA26" s="1"/>
  <c r="H26"/>
  <c r="AB9" i="37"/>
  <c r="W12"/>
  <c r="AA9"/>
  <c r="S17"/>
  <c r="AB37"/>
  <c r="AA31"/>
  <c r="S33"/>
  <c r="U32"/>
  <c r="AA32"/>
  <c r="J33"/>
  <c r="AC33" s="1"/>
  <c r="W33"/>
  <c r="H99"/>
  <c r="I99"/>
  <c r="J99" s="1"/>
  <c r="K99" s="1"/>
  <c r="L99" s="1"/>
  <c r="M99" s="1"/>
  <c r="S29"/>
  <c r="J19"/>
  <c r="AC19"/>
  <c r="G75"/>
  <c r="F19"/>
  <c r="AA19"/>
  <c r="H19"/>
  <c r="J17"/>
  <c r="S15"/>
  <c r="AC10"/>
  <c r="AC21"/>
  <c r="W21"/>
  <c r="AC11"/>
  <c r="AC9"/>
  <c r="W32"/>
  <c r="U35"/>
  <c r="U8"/>
  <c r="AB21"/>
  <c r="U21"/>
  <c r="S37"/>
  <c r="S40"/>
  <c r="AA11"/>
  <c r="S10"/>
  <c r="AC45" i="34"/>
  <c r="AA40"/>
  <c r="U30"/>
  <c r="S32"/>
  <c r="AB33"/>
  <c r="AA12"/>
  <c r="AA30"/>
  <c r="AC32"/>
  <c r="U44"/>
  <c r="J25"/>
  <c r="AC25" s="1"/>
  <c r="H25"/>
  <c r="J23"/>
  <c r="AC23" s="1"/>
  <c r="F23"/>
  <c r="S23" s="1"/>
  <c r="H23"/>
  <c r="AB23" s="1"/>
  <c r="W29"/>
  <c r="AC21"/>
  <c r="W21"/>
  <c r="AB21"/>
  <c r="U21"/>
  <c r="U27"/>
  <c r="AB41"/>
  <c r="S13"/>
  <c r="AA41"/>
  <c r="AC12" i="33"/>
  <c r="W31"/>
  <c r="W43"/>
  <c r="U46"/>
  <c r="W39"/>
  <c r="AB34"/>
  <c r="W26"/>
  <c r="J23"/>
  <c r="W23" s="1"/>
  <c r="F17"/>
  <c r="AA17" s="1"/>
  <c r="H17"/>
  <c r="AB17" s="1"/>
  <c r="J17"/>
  <c r="W17" s="1"/>
  <c r="S14"/>
  <c r="AC21"/>
  <c r="W21"/>
  <c r="W14"/>
  <c r="AB21"/>
  <c r="U21"/>
  <c r="AA21"/>
  <c r="S21"/>
  <c r="AA44"/>
  <c r="S44" i="21"/>
  <c r="W39"/>
  <c r="AC34"/>
  <c r="W32"/>
  <c r="U35"/>
  <c r="W43"/>
  <c r="AA37"/>
  <c r="S42"/>
  <c r="AB37"/>
  <c r="AB32"/>
  <c r="W28"/>
  <c r="AC46"/>
  <c r="AC26"/>
  <c r="F85"/>
  <c r="G85" s="1"/>
  <c r="J23"/>
  <c r="AC23" s="1"/>
  <c r="F23"/>
  <c r="H23"/>
  <c r="U23" s="1"/>
  <c r="AA17"/>
  <c r="W17"/>
  <c r="F15"/>
  <c r="S15"/>
  <c r="F77"/>
  <c r="G77" s="1"/>
  <c r="J15"/>
  <c r="W15" s="1"/>
  <c r="H15"/>
  <c r="AB15" s="1"/>
  <c r="AC11"/>
  <c r="AB11"/>
  <c r="W13"/>
  <c r="AA11"/>
  <c r="AC21"/>
  <c r="W21"/>
  <c r="W44"/>
  <c r="AC19"/>
  <c r="AC38"/>
  <c r="AB21"/>
  <c r="U21"/>
  <c r="AB29"/>
  <c r="AA30"/>
  <c r="AA31"/>
  <c r="W33" i="40"/>
  <c r="U33"/>
  <c r="S35"/>
  <c r="U15"/>
  <c r="S14"/>
  <c r="S15"/>
  <c r="AB13"/>
  <c r="S16"/>
  <c r="W11"/>
  <c r="AA21"/>
  <c r="U21"/>
  <c r="W25"/>
  <c r="U25"/>
  <c r="W42"/>
  <c r="U35"/>
  <c r="F37"/>
  <c r="S37" s="1"/>
  <c r="J37"/>
  <c r="AC37" s="1"/>
  <c r="H37"/>
  <c r="G113"/>
  <c r="H113"/>
  <c r="I113"/>
  <c r="J113" s="1"/>
  <c r="K113" s="1"/>
  <c r="L113" s="1"/>
  <c r="M113" s="1"/>
  <c r="F39"/>
  <c r="S38"/>
  <c r="H39"/>
  <c r="J39"/>
  <c r="W38"/>
  <c r="F29"/>
  <c r="AA29" s="1"/>
  <c r="H29"/>
  <c r="U29" s="1"/>
  <c r="J29"/>
  <c r="F98"/>
  <c r="G98"/>
  <c r="H98"/>
  <c r="I98" s="1"/>
  <c r="J98" s="1"/>
  <c r="K98" s="1"/>
  <c r="L98" s="1"/>
  <c r="M98" s="1"/>
  <c r="AA23"/>
  <c r="F88"/>
  <c r="G88" s="1"/>
  <c r="F19"/>
  <c r="H19"/>
  <c r="U19" s="1"/>
  <c r="J19"/>
  <c r="W17"/>
  <c r="AC17"/>
  <c r="F17"/>
  <c r="AA17" s="1"/>
  <c r="H17"/>
  <c r="AB17"/>
  <c r="W21"/>
  <c r="AB40"/>
  <c r="U10"/>
  <c r="U27"/>
  <c r="AB27"/>
  <c r="AC44" i="39"/>
  <c r="W13"/>
  <c r="S11"/>
  <c r="AB45"/>
  <c r="S27"/>
  <c r="AA21"/>
  <c r="AC19"/>
  <c r="AC38"/>
  <c r="W29"/>
  <c r="S29"/>
  <c r="AC21"/>
  <c r="AC17"/>
  <c r="S14"/>
  <c r="AB15"/>
  <c r="U11"/>
  <c r="U41"/>
  <c r="U23"/>
  <c r="U31"/>
  <c r="AB31"/>
  <c r="S25"/>
  <c r="S38"/>
  <c r="S22" i="31"/>
  <c r="B20" s="1"/>
  <c r="M20" i="15"/>
  <c r="A18" i="64"/>
  <c r="B74" i="63" s="1"/>
  <c r="C53" i="10"/>
  <c r="A25" i="64" s="1"/>
  <c r="A18" i="51"/>
  <c r="B14" i="63" s="1"/>
  <c r="BA16" i="3"/>
  <c r="BA17"/>
  <c r="AZ17"/>
  <c r="K1" i="43"/>
  <c r="K1" i="12"/>
  <c r="G1" i="44"/>
  <c r="AZ15" i="3"/>
  <c r="BK5"/>
  <c r="BO5"/>
  <c r="BP5"/>
  <c r="BN5"/>
  <c r="BL18"/>
  <c r="AZ18"/>
  <c r="BC5"/>
  <c r="BD5"/>
  <c r="BR5"/>
  <c r="BS5"/>
  <c r="BQ5"/>
  <c r="BL16"/>
  <c r="BM5"/>
  <c r="F29" i="6" s="1"/>
  <c r="BA13" i="3"/>
  <c r="G28" i="12"/>
  <c r="G26"/>
  <c r="D24" i="44"/>
  <c r="D26"/>
  <c r="G23" i="43"/>
  <c r="N8" i="46"/>
  <c r="N4"/>
  <c r="N1"/>
  <c r="F47"/>
  <c r="H52" s="1"/>
  <c r="M9"/>
  <c r="M2"/>
  <c r="N11"/>
  <c r="N9"/>
  <c r="M4"/>
  <c r="M12"/>
  <c r="M8"/>
  <c r="M3"/>
  <c r="M5"/>
  <c r="C6"/>
  <c r="H6" i="48"/>
  <c r="H15"/>
  <c r="H5"/>
  <c r="H14"/>
  <c r="F36" i="46"/>
  <c r="K17"/>
  <c r="F39"/>
  <c r="H13" i="48"/>
  <c r="H11"/>
  <c r="D17" i="46"/>
  <c r="D71"/>
  <c r="D84"/>
  <c r="E80"/>
  <c r="B78" s="1"/>
  <c r="D69"/>
  <c r="E47"/>
  <c r="B45" s="1"/>
  <c r="A4" i="64"/>
  <c r="A4" i="51"/>
  <c r="B6" i="63" s="1"/>
  <c r="C51" i="10"/>
  <c r="I100" i="46"/>
  <c r="N100"/>
  <c r="H100"/>
  <c r="F108"/>
  <c r="E100"/>
  <c r="G100"/>
  <c r="H84"/>
  <c r="C100"/>
  <c r="J100"/>
  <c r="M100"/>
  <c r="AA12" i="36"/>
  <c r="W11" i="35"/>
  <c r="AA11"/>
  <c r="S14" i="37"/>
  <c r="U13"/>
  <c r="S13" i="21"/>
  <c r="C24" i="9"/>
  <c r="C25"/>
  <c r="G9" i="1"/>
  <c r="L5" i="54"/>
  <c r="B39" i="63" s="1"/>
  <c r="K5" i="54"/>
  <c r="A3" i="55" s="1"/>
  <c r="B56" i="63" s="1"/>
  <c r="T41" i="4"/>
  <c r="A17" i="64" s="1"/>
  <c r="B46" i="50"/>
  <c r="B4" i="63"/>
  <c r="A22" i="51"/>
  <c r="B16" i="63" s="1"/>
  <c r="H82" i="46"/>
  <c r="H10" i="48"/>
  <c r="H87" i="46"/>
  <c r="H83"/>
  <c r="S11" i="1"/>
  <c r="R11"/>
  <c r="S13"/>
  <c r="R13"/>
  <c r="B6"/>
  <c r="E6" s="1"/>
  <c r="S10"/>
  <c r="B8"/>
  <c r="E8"/>
  <c r="B12"/>
  <c r="E12"/>
  <c r="S12"/>
  <c r="K6"/>
  <c r="M6" s="1"/>
  <c r="G1" i="15"/>
  <c r="F66" i="36"/>
  <c r="H18"/>
  <c r="U18" s="1"/>
  <c r="U16"/>
  <c r="S25"/>
  <c r="AA34"/>
  <c r="U23"/>
  <c r="AC27"/>
  <c r="W28"/>
  <c r="AA32"/>
  <c r="U13"/>
  <c r="AA22"/>
  <c r="U10"/>
  <c r="AA13"/>
  <c r="W29"/>
  <c r="W9"/>
  <c r="S9"/>
  <c r="W8"/>
  <c r="AC30" i="35"/>
  <c r="U24"/>
  <c r="W32"/>
  <c r="S24"/>
  <c r="AA33"/>
  <c r="U32"/>
  <c r="W22"/>
  <c r="W34"/>
  <c r="S32"/>
  <c r="W35" i="37"/>
  <c r="U33"/>
  <c r="AC15"/>
  <c r="AA13"/>
  <c r="S12"/>
  <c r="W38"/>
  <c r="W36"/>
  <c r="U26"/>
  <c r="AB28"/>
  <c r="S28"/>
  <c r="W13"/>
  <c r="U38"/>
  <c r="S26"/>
  <c r="AA31" i="34"/>
  <c r="AB29"/>
  <c r="AB47"/>
  <c r="AB13"/>
  <c r="AC13"/>
  <c r="S47"/>
  <c r="AA29"/>
  <c r="S8"/>
  <c r="AB14" i="33"/>
  <c r="AB12"/>
  <c r="S39" i="21"/>
  <c r="AB25"/>
  <c r="W25"/>
  <c r="AA25"/>
  <c r="AC37"/>
  <c r="AA29"/>
  <c r="U27"/>
  <c r="W31"/>
  <c r="S27"/>
  <c r="AA15"/>
  <c r="AC27"/>
  <c r="W29"/>
  <c r="G96" i="40"/>
  <c r="J27"/>
  <c r="W37"/>
  <c r="W30"/>
  <c r="S34"/>
  <c r="U17"/>
  <c r="U38"/>
  <c r="S40"/>
  <c r="S42"/>
  <c r="G105" i="39"/>
  <c r="J31"/>
  <c r="S45"/>
  <c r="W41"/>
  <c r="AB43"/>
  <c r="AB33"/>
  <c r="AC46"/>
  <c r="S34"/>
  <c r="W42"/>
  <c r="W36"/>
  <c r="W23"/>
  <c r="AC37"/>
  <c r="U14"/>
  <c r="W16"/>
  <c r="S15"/>
  <c r="W25"/>
  <c r="W45"/>
  <c r="S41"/>
  <c r="AA44"/>
  <c r="AA46"/>
  <c r="W34"/>
  <c r="W10"/>
  <c r="W11"/>
  <c r="U42"/>
  <c r="W40"/>
  <c r="C27"/>
  <c r="C17" i="40"/>
  <c r="C19"/>
  <c r="C17" i="39"/>
  <c r="C19"/>
  <c r="C21"/>
  <c r="C23" i="40"/>
  <c r="B48" i="46"/>
  <c r="B51"/>
  <c r="B55"/>
  <c r="B62"/>
  <c r="B66"/>
  <c r="B53"/>
  <c r="B64"/>
  <c r="D24" i="15"/>
  <c r="F28" i="6"/>
  <c r="S14" i="36"/>
  <c r="AB20"/>
  <c r="AA20"/>
  <c r="AC14"/>
  <c r="AB14"/>
  <c r="S26" i="35"/>
  <c r="U26"/>
  <c r="AB26"/>
  <c r="W26"/>
  <c r="AC26"/>
  <c r="S19" i="37"/>
  <c r="W19"/>
  <c r="AB19"/>
  <c r="U19"/>
  <c r="AC17"/>
  <c r="W17"/>
  <c r="U25" i="34"/>
  <c r="AB25"/>
  <c r="AB23" i="21"/>
  <c r="AA23"/>
  <c r="S23"/>
  <c r="U15"/>
  <c r="AB39" i="40"/>
  <c r="U39"/>
  <c r="AC39"/>
  <c r="W39"/>
  <c r="AA39"/>
  <c r="S39"/>
  <c r="U37"/>
  <c r="AB37"/>
  <c r="AA37"/>
  <c r="AB29"/>
  <c r="AC29"/>
  <c r="W29"/>
  <c r="S29"/>
  <c r="W19"/>
  <c r="AC19"/>
  <c r="AA19"/>
  <c r="S19"/>
  <c r="AB19"/>
  <c r="W31" i="39"/>
  <c r="AC31"/>
  <c r="R22" i="31"/>
  <c r="B21"/>
  <c r="AT6" i="3"/>
  <c r="G29" i="6"/>
  <c r="AZ16" i="3"/>
  <c r="A9" i="64"/>
  <c r="A9" i="51"/>
  <c r="B9" i="63" s="1"/>
  <c r="E4" i="4"/>
  <c r="B21" i="55" s="1"/>
  <c r="B72" i="63" s="1"/>
  <c r="C4" i="4"/>
  <c r="B20" i="55" s="1"/>
  <c r="B70" i="63" s="1"/>
  <c r="G66" i="36"/>
  <c r="J18"/>
  <c r="AE6" i="1"/>
  <c r="W18" i="36"/>
  <c r="AC18"/>
  <c r="AG6" i="1"/>
  <c r="L20" i="6"/>
  <c r="S9" i="1"/>
  <c r="R9"/>
  <c r="C45" i="9"/>
  <c r="O40" s="1"/>
  <c r="R7" i="54" s="1"/>
  <c r="B52" i="63" s="1"/>
  <c r="C44" i="9"/>
  <c r="K29"/>
  <c r="K30" s="1"/>
  <c r="N76"/>
  <c r="C46"/>
  <c r="I14" i="66" s="1"/>
  <c r="B8" s="1"/>
  <c r="H58" i="46"/>
  <c r="J17"/>
  <c r="C17"/>
  <c r="F34"/>
  <c r="F38"/>
  <c r="F37"/>
  <c r="H113"/>
  <c r="D17" i="59"/>
  <c r="C16"/>
  <c r="C15" s="1"/>
  <c r="C14" s="1"/>
  <c r="D16"/>
  <c r="U14"/>
  <c r="H1" i="65"/>
  <c r="X7" i="46"/>
  <c r="E17"/>
  <c r="N17"/>
  <c r="O17"/>
  <c r="M17"/>
  <c r="L17"/>
  <c r="P13" i="1"/>
  <c r="P12"/>
  <c r="G13"/>
  <c r="F35" i="46"/>
  <c r="I17"/>
  <c r="H63"/>
  <c r="H64"/>
  <c r="H66"/>
  <c r="D100"/>
  <c r="H62"/>
  <c r="AF12"/>
  <c r="K100"/>
  <c r="AB12"/>
  <c r="AJ12"/>
  <c r="H60"/>
  <c r="H59"/>
  <c r="H65"/>
  <c r="E10"/>
  <c r="E9"/>
  <c r="E11"/>
  <c r="E8"/>
  <c r="C7" s="1"/>
  <c r="H47"/>
  <c r="AD12"/>
  <c r="AH12"/>
  <c r="B15" i="59"/>
  <c r="B14" s="1"/>
  <c r="B13" s="1"/>
  <c r="B12" s="1"/>
  <c r="B11" s="1"/>
  <c r="S14"/>
  <c r="D15"/>
  <c r="B10" i="67"/>
  <c r="M10" i="44"/>
  <c r="E8" i="67"/>
  <c r="F11" i="44"/>
  <c r="F45"/>
  <c r="J3" i="65"/>
  <c r="F13" i="67"/>
  <c r="F13" i="15"/>
  <c r="N4" i="65"/>
  <c r="B9" i="67"/>
  <c r="N5" i="65"/>
  <c r="F28" i="44"/>
  <c r="I6" i="65"/>
  <c r="E11" i="67"/>
  <c r="F12"/>
  <c r="B13"/>
  <c r="M28" i="44"/>
  <c r="B8" i="67"/>
  <c r="N6" i="65"/>
  <c r="N7"/>
  <c r="F43" i="44"/>
  <c r="F10"/>
  <c r="E12" i="67"/>
  <c r="L49" i="44"/>
  <c r="F18"/>
  <c r="I4" i="65"/>
  <c r="F8" i="67"/>
  <c r="B14"/>
  <c r="I5" i="65"/>
  <c r="M11" i="44"/>
  <c r="F9" i="67"/>
  <c r="F15" i="44"/>
  <c r="M30"/>
  <c r="M25"/>
  <c r="N3" i="65"/>
  <c r="M31" i="44"/>
  <c r="M8"/>
  <c r="M29"/>
  <c r="E10" i="67"/>
  <c r="F38" i="44"/>
  <c r="E14" i="67"/>
  <c r="F10"/>
  <c r="F40" i="15"/>
  <c r="M24"/>
  <c r="J17" i="44"/>
  <c r="F14" i="67"/>
  <c r="E9"/>
  <c r="F9" i="44"/>
  <c r="J5" i="65"/>
  <c r="E13" i="67"/>
  <c r="J6" i="65"/>
  <c r="F11" i="67"/>
  <c r="M26" i="44"/>
  <c r="B11" i="67"/>
  <c r="F39" i="44"/>
  <c r="B12" i="67"/>
  <c r="L48" i="44"/>
  <c r="AC11" i="34" l="1"/>
  <c r="L16" i="4"/>
  <c r="G12" i="1"/>
  <c r="AB32" i="40"/>
  <c r="U32"/>
  <c r="H55" i="46"/>
  <c r="H14" i="66"/>
  <c r="B7" s="1"/>
  <c r="K10" i="1"/>
  <c r="M10" s="1"/>
  <c r="O10" s="1"/>
  <c r="P10" s="1"/>
  <c r="H80" i="46"/>
  <c r="F3" i="35"/>
  <c r="C7"/>
  <c r="C48" s="1"/>
  <c r="D48" s="1"/>
  <c r="E48" s="1"/>
  <c r="F48" s="1"/>
  <c r="G48" s="1"/>
  <c r="H48" s="1"/>
  <c r="I48" s="1"/>
  <c r="J48" s="1"/>
  <c r="K48" s="1"/>
  <c r="L48" s="1"/>
  <c r="M48" s="1"/>
  <c r="N48" s="1"/>
  <c r="O48" s="1"/>
  <c r="C7" i="36"/>
  <c r="C46" s="1"/>
  <c r="D46" s="1"/>
  <c r="E46" s="1"/>
  <c r="F46" s="1"/>
  <c r="G46" s="1"/>
  <c r="H46" s="1"/>
  <c r="D38" i="4"/>
  <c r="C39" s="1"/>
  <c r="R10" i="1"/>
  <c r="G19" i="46"/>
  <c r="O19" s="1"/>
  <c r="H54"/>
  <c r="H50"/>
  <c r="J32" i="40"/>
  <c r="C7" i="33"/>
  <c r="C58" s="1"/>
  <c r="D58" s="1"/>
  <c r="C9" i="40"/>
  <c r="C65" s="1"/>
  <c r="D65" s="1"/>
  <c r="N67" i="9"/>
  <c r="O41"/>
  <c r="R8" i="54" s="1"/>
  <c r="B54" i="63" s="1"/>
  <c r="H85" i="46"/>
  <c r="H86"/>
  <c r="B38" i="63"/>
  <c r="F69" i="46"/>
  <c r="F32" i="40"/>
  <c r="C7" i="37"/>
  <c r="C52" s="1"/>
  <c r="D52" s="1"/>
  <c r="E52" s="1"/>
  <c r="F52" s="1"/>
  <c r="G52" s="1"/>
  <c r="H52" s="1"/>
  <c r="I52" s="1"/>
  <c r="J52" s="1"/>
  <c r="K52" s="1"/>
  <c r="A26" i="64"/>
  <c r="C13" i="59"/>
  <c r="T14"/>
  <c r="D14"/>
  <c r="K31" i="9"/>
  <c r="K32" s="1"/>
  <c r="A17" i="51"/>
  <c r="B13" i="63" s="1"/>
  <c r="AC27" i="40"/>
  <c r="W27"/>
  <c r="N69" i="9"/>
  <c r="O39"/>
  <c r="R6" i="54" s="1"/>
  <c r="B50" i="63" s="1"/>
  <c r="G14" i="66"/>
  <c r="B6" s="1"/>
  <c r="K33" i="9"/>
  <c r="K34" s="1"/>
  <c r="H49" i="46"/>
  <c r="H51"/>
  <c r="H48"/>
  <c r="H53"/>
  <c r="AB18" i="36"/>
  <c r="U30" i="40"/>
  <c r="W34"/>
  <c r="AB34" i="39"/>
  <c r="U34"/>
  <c r="AZ299" i="3"/>
  <c r="AZ550"/>
  <c r="AA27" i="37"/>
  <c r="S27"/>
  <c r="AZ572" i="3"/>
  <c r="AC9" i="34"/>
  <c r="W9"/>
  <c r="S17" i="40"/>
  <c r="W23" i="21"/>
  <c r="S17" i="39"/>
  <c r="AC23" i="40"/>
  <c r="F9" i="21"/>
  <c r="S9" s="1"/>
  <c r="H9"/>
  <c r="AB9" s="1"/>
  <c r="J9"/>
  <c r="E91" i="33"/>
  <c r="F91" s="1"/>
  <c r="G91" s="1"/>
  <c r="H91" s="1"/>
  <c r="I91" s="1"/>
  <c r="J91" s="1"/>
  <c r="K91" s="1"/>
  <c r="L91" s="1"/>
  <c r="M91" s="1"/>
  <c r="F27"/>
  <c r="S27" s="1"/>
  <c r="U15" i="37"/>
  <c r="AB15"/>
  <c r="U25" i="35"/>
  <c r="AB25"/>
  <c r="AZ522" i="3"/>
  <c r="AA33" i="39"/>
  <c r="S33"/>
  <c r="AZ347" i="3"/>
  <c r="AB30" i="33"/>
  <c r="U30"/>
  <c r="S23" i="37"/>
  <c r="AA23"/>
  <c r="W42" i="21"/>
  <c r="W14"/>
  <c r="AC14"/>
  <c r="AC15"/>
  <c r="AB38" i="39"/>
  <c r="W28" i="37"/>
  <c r="AB20" i="35"/>
  <c r="U40" i="21"/>
  <c r="AC14" i="34"/>
  <c r="AA40" i="21"/>
  <c r="AB23" i="35"/>
  <c r="AB25" i="39"/>
  <c r="AA33" i="40"/>
  <c r="S33"/>
  <c r="AZ524" i="3"/>
  <c r="AB14" i="21"/>
  <c r="S25" i="40"/>
  <c r="S16" i="39"/>
  <c r="AA16"/>
  <c r="AZ528" i="3"/>
  <c r="U31" i="34"/>
  <c r="AB31"/>
  <c r="AA46" i="33"/>
  <c r="S46"/>
  <c r="AA13"/>
  <c r="S13"/>
  <c r="AB36" i="21"/>
  <c r="U36"/>
  <c r="AB41" i="40"/>
  <c r="AB27" i="39"/>
  <c r="AZ489" i="3"/>
  <c r="AA43" i="39"/>
  <c r="S43"/>
  <c r="AZ570" i="3"/>
  <c r="J9" i="33"/>
  <c r="AC9" s="1"/>
  <c r="F9"/>
  <c r="AA9" s="1"/>
  <c r="H9"/>
  <c r="U9" s="1"/>
  <c r="U42" i="40"/>
  <c r="AZ490" i="3"/>
  <c r="F80" i="34"/>
  <c r="G80" s="1"/>
  <c r="H17"/>
  <c r="AB17" s="1"/>
  <c r="AB39" i="21"/>
  <c r="U39"/>
  <c r="AZ546" i="3"/>
  <c r="U28" i="36"/>
  <c r="AB28"/>
  <c r="U16" i="35"/>
  <c r="AB16"/>
  <c r="AB26" i="21"/>
  <c r="U26"/>
  <c r="W35" i="35"/>
  <c r="AA43" i="21"/>
  <c r="AB44" i="33"/>
  <c r="H5" i="3"/>
  <c r="S12" i="33"/>
  <c r="H12" i="35"/>
  <c r="H25" i="37"/>
  <c r="F25"/>
  <c r="J25"/>
  <c r="AZ397" i="3"/>
  <c r="AB45" i="34"/>
  <c r="J47"/>
  <c r="B69" i="72"/>
  <c r="B69" i="71"/>
  <c r="H9" i="34"/>
  <c r="AB9" s="1"/>
  <c r="J34" i="36"/>
  <c r="H34"/>
  <c r="AC41" i="21"/>
  <c r="W41"/>
  <c r="AC11" i="36"/>
  <c r="AB31" i="37"/>
  <c r="AA36" i="21"/>
  <c r="H27" i="33"/>
  <c r="U27" s="1"/>
  <c r="J12" i="35"/>
  <c r="F25"/>
  <c r="G563" i="3"/>
  <c r="H45" i="21"/>
  <c r="F45"/>
  <c r="W39" i="37"/>
  <c r="BI5" i="3"/>
  <c r="H28" i="34"/>
  <c r="BH5" i="3"/>
  <c r="B80" i="71"/>
  <c r="B80" i="72"/>
  <c r="B80" i="46"/>
  <c r="AB45" i="33"/>
  <c r="BG5" i="3"/>
  <c r="AZ409"/>
  <c r="AZ419"/>
  <c r="AZ457"/>
  <c r="AZ443"/>
  <c r="AZ447"/>
  <c r="AZ448"/>
  <c r="AZ453"/>
  <c r="AZ37"/>
  <c r="BT5"/>
  <c r="G28" i="6" s="1"/>
  <c r="F34" i="15"/>
  <c r="F61" s="1"/>
  <c r="M20" i="77"/>
  <c r="F34"/>
  <c r="F61" s="1"/>
  <c r="BA399" i="3"/>
  <c r="BL412"/>
  <c r="BA441"/>
  <c r="AZ441" s="1"/>
  <c r="BA442"/>
  <c r="AZ442" s="1"/>
  <c r="BA465"/>
  <c r="AZ465" s="1"/>
  <c r="G470"/>
  <c r="BA297"/>
  <c r="AZ297" s="1"/>
  <c r="G305"/>
  <c r="BA315"/>
  <c r="AZ315" s="1"/>
  <c r="G347"/>
  <c r="G205"/>
  <c r="AZ266"/>
  <c r="K145" i="21"/>
  <c r="AZ408" i="3"/>
  <c r="AZ417"/>
  <c r="BL426"/>
  <c r="AZ426" s="1"/>
  <c r="BL436"/>
  <c r="AZ436" s="1"/>
  <c r="BA451"/>
  <c r="BL456"/>
  <c r="AZ456" s="1"/>
  <c r="G465"/>
  <c r="BL472"/>
  <c r="AZ472" s="1"/>
  <c r="BL476"/>
  <c r="BA477"/>
  <c r="AZ477" s="1"/>
  <c r="BL334"/>
  <c r="G345"/>
  <c r="BA210"/>
  <c r="AZ210" s="1"/>
  <c r="BA226"/>
  <c r="AZ226" s="1"/>
  <c r="B81" i="72"/>
  <c r="B81" i="71"/>
  <c r="BL391" i="3"/>
  <c r="AZ476"/>
  <c r="AZ116"/>
  <c r="G399"/>
  <c r="BA208"/>
  <c r="AZ208" s="1"/>
  <c r="AZ224"/>
  <c r="AZ175"/>
  <c r="BA389"/>
  <c r="AZ389" s="1"/>
  <c r="BA391"/>
  <c r="AZ391" s="1"/>
  <c r="G450"/>
  <c r="G455"/>
  <c r="BL467"/>
  <c r="BA205"/>
  <c r="AZ205" s="1"/>
  <c r="BA225"/>
  <c r="AZ225" s="1"/>
  <c r="B87" i="71"/>
  <c r="B87" i="72"/>
  <c r="BA390" i="3"/>
  <c r="AZ390" s="1"/>
  <c r="BL390"/>
  <c r="BL414"/>
  <c r="BA467"/>
  <c r="AZ467" s="1"/>
  <c r="AZ468"/>
  <c r="BA469"/>
  <c r="AZ469" s="1"/>
  <c r="BA471"/>
  <c r="AZ471" s="1"/>
  <c r="BA318"/>
  <c r="BL318"/>
  <c r="BA333"/>
  <c r="AZ333" s="1"/>
  <c r="AZ386"/>
  <c r="BA388"/>
  <c r="AZ388" s="1"/>
  <c r="BA207"/>
  <c r="AZ207" s="1"/>
  <c r="AZ168"/>
  <c r="BL395"/>
  <c r="BL396"/>
  <c r="AZ396" s="1"/>
  <c r="BL399"/>
  <c r="BL400"/>
  <c r="BL401"/>
  <c r="AZ401" s="1"/>
  <c r="BL405"/>
  <c r="BL413"/>
  <c r="BL423"/>
  <c r="BL433"/>
  <c r="BL463"/>
  <c r="AZ463" s="1"/>
  <c r="G212"/>
  <c r="BA395"/>
  <c r="BL409"/>
  <c r="BL410"/>
  <c r="AZ410" s="1"/>
  <c r="BA413"/>
  <c r="BA414"/>
  <c r="AZ414" s="1"/>
  <c r="BL432"/>
  <c r="BL462"/>
  <c r="BA466"/>
  <c r="AZ466" s="1"/>
  <c r="AZ243"/>
  <c r="AZ280"/>
  <c r="BA400"/>
  <c r="BA405"/>
  <c r="AZ405" s="1"/>
  <c r="BA412"/>
  <c r="BL418"/>
  <c r="AZ418" s="1"/>
  <c r="BL419"/>
  <c r="BA423"/>
  <c r="BA424"/>
  <c r="AZ424" s="1"/>
  <c r="BL427"/>
  <c r="AZ427" s="1"/>
  <c r="BA432"/>
  <c r="AZ432" s="1"/>
  <c r="BA433"/>
  <c r="BA434"/>
  <c r="AZ434" s="1"/>
  <c r="BL437"/>
  <c r="AZ437" s="1"/>
  <c r="BL443"/>
  <c r="BL451"/>
  <c r="BL457"/>
  <c r="BA462"/>
  <c r="AZ462" s="1"/>
  <c r="BA317"/>
  <c r="AZ317" s="1"/>
  <c r="BA219"/>
  <c r="AZ219" s="1"/>
  <c r="BA220"/>
  <c r="AZ220" s="1"/>
  <c r="BA250"/>
  <c r="AZ250" s="1"/>
  <c r="AZ145"/>
  <c r="BA357"/>
  <c r="AZ357" s="1"/>
  <c r="BL235"/>
  <c r="G239"/>
  <c r="BL246"/>
  <c r="BL265"/>
  <c r="AZ265" s="1"/>
  <c r="BL269"/>
  <c r="BL272"/>
  <c r="BL275"/>
  <c r="BL279"/>
  <c r="AZ279" s="1"/>
  <c r="BL282"/>
  <c r="AZ282" s="1"/>
  <c r="BL283"/>
  <c r="BL288"/>
  <c r="AZ288" s="1"/>
  <c r="BL293"/>
  <c r="AZ293" s="1"/>
  <c r="BL296"/>
  <c r="AZ296" s="1"/>
  <c r="BL113"/>
  <c r="AZ117"/>
  <c r="BA133"/>
  <c r="BA143"/>
  <c r="AZ143" s="1"/>
  <c r="G156"/>
  <c r="BL165"/>
  <c r="AZ165" s="1"/>
  <c r="BA167"/>
  <c r="AZ167" s="1"/>
  <c r="BL167"/>
  <c r="BL171"/>
  <c r="BL172"/>
  <c r="AZ172" s="1"/>
  <c r="AZ176"/>
  <c r="BA202"/>
  <c r="AZ202" s="1"/>
  <c r="BA62"/>
  <c r="BL351"/>
  <c r="AZ351" s="1"/>
  <c r="BL211"/>
  <c r="G214"/>
  <c r="BA245"/>
  <c r="AZ245" s="1"/>
  <c r="BA246"/>
  <c r="BL255"/>
  <c r="BA264"/>
  <c r="AZ264" s="1"/>
  <c r="AZ275"/>
  <c r="BL278"/>
  <c r="AZ278" s="1"/>
  <c r="BA119"/>
  <c r="AZ119" s="1"/>
  <c r="BA235"/>
  <c r="BA244"/>
  <c r="AZ244" s="1"/>
  <c r="BA262"/>
  <c r="AZ262" s="1"/>
  <c r="BA273"/>
  <c r="AZ273" s="1"/>
  <c r="BA276"/>
  <c r="AZ276" s="1"/>
  <c r="BA283"/>
  <c r="AZ283" s="1"/>
  <c r="BA284"/>
  <c r="AZ284" s="1"/>
  <c r="BA289"/>
  <c r="AZ289" s="1"/>
  <c r="BA113"/>
  <c r="AZ113" s="1"/>
  <c r="BL136"/>
  <c r="BA140"/>
  <c r="AZ140" s="1"/>
  <c r="BA159"/>
  <c r="AZ159" s="1"/>
  <c r="BA199"/>
  <c r="AZ199" s="1"/>
  <c r="AZ61"/>
  <c r="X15" i="59"/>
  <c r="X3"/>
  <c r="BA350" i="3"/>
  <c r="AZ350" s="1"/>
  <c r="BA211"/>
  <c r="AZ211" s="1"/>
  <c r="BL227"/>
  <c r="G231"/>
  <c r="BL237"/>
  <c r="AZ237" s="1"/>
  <c r="BL251"/>
  <c r="BA259"/>
  <c r="AZ259" s="1"/>
  <c r="BA260"/>
  <c r="AZ260" s="1"/>
  <c r="BA267"/>
  <c r="AZ267" s="1"/>
  <c r="BA271"/>
  <c r="AZ271" s="1"/>
  <c r="BA274"/>
  <c r="AZ274" s="1"/>
  <c r="BA281"/>
  <c r="AZ281" s="1"/>
  <c r="BA291"/>
  <c r="AZ291" s="1"/>
  <c r="BA295"/>
  <c r="AZ295" s="1"/>
  <c r="G126"/>
  <c r="BL137"/>
  <c r="AZ137" s="1"/>
  <c r="BA139"/>
  <c r="AZ139" s="1"/>
  <c r="BA164"/>
  <c r="AZ164" s="1"/>
  <c r="BL164"/>
  <c r="BA170"/>
  <c r="AZ170" s="1"/>
  <c r="BL178"/>
  <c r="AZ178" s="1"/>
  <c r="BL191"/>
  <c r="AZ191" s="1"/>
  <c r="AZ54"/>
  <c r="AZ227"/>
  <c r="AZ251"/>
  <c r="BA253"/>
  <c r="AZ253" s="1"/>
  <c r="AZ269"/>
  <c r="BL133"/>
  <c r="BA162"/>
  <c r="AZ162" s="1"/>
  <c r="AZ198"/>
  <c r="BA341"/>
  <c r="AZ341" s="1"/>
  <c r="G209"/>
  <c r="G223"/>
  <c r="BL229"/>
  <c r="AZ229" s="1"/>
  <c r="BA238"/>
  <c r="AZ238" s="1"/>
  <c r="BL240"/>
  <c r="BA249"/>
  <c r="AZ249" s="1"/>
  <c r="BA255"/>
  <c r="AZ255" s="1"/>
  <c r="BA257"/>
  <c r="AZ257" s="1"/>
  <c r="BA268"/>
  <c r="AZ268" s="1"/>
  <c r="BA287"/>
  <c r="AZ287" s="1"/>
  <c r="BA292"/>
  <c r="AZ292" s="1"/>
  <c r="BL130"/>
  <c r="AZ130" s="1"/>
  <c r="BA135"/>
  <c r="AZ135" s="1"/>
  <c r="BL142"/>
  <c r="AZ142" s="1"/>
  <c r="BL186"/>
  <c r="AZ186" s="1"/>
  <c r="AZ21"/>
  <c r="BL335"/>
  <c r="AZ335" s="1"/>
  <c r="BL207"/>
  <c r="BA252"/>
  <c r="AZ252" s="1"/>
  <c r="G118"/>
  <c r="BL129"/>
  <c r="BA136"/>
  <c r="BL153"/>
  <c r="AZ153" s="1"/>
  <c r="BA155"/>
  <c r="AZ155" s="1"/>
  <c r="G177"/>
  <c r="BL182"/>
  <c r="BA189"/>
  <c r="AZ189" s="1"/>
  <c r="BL34"/>
  <c r="BL39"/>
  <c r="BL46"/>
  <c r="BL76"/>
  <c r="BA90"/>
  <c r="BA334"/>
  <c r="AZ334" s="1"/>
  <c r="BA206"/>
  <c r="AZ206" s="1"/>
  <c r="BL221"/>
  <c r="BL231"/>
  <c r="AZ231" s="1"/>
  <c r="BA240"/>
  <c r="AZ277"/>
  <c r="BL121"/>
  <c r="AZ121" s="1"/>
  <c r="BA128"/>
  <c r="BL128"/>
  <c r="AZ129"/>
  <c r="AZ141"/>
  <c r="BA156"/>
  <c r="BL180"/>
  <c r="AZ182"/>
  <c r="BA187"/>
  <c r="AZ187" s="1"/>
  <c r="BL187"/>
  <c r="BA325"/>
  <c r="AZ325" s="1"/>
  <c r="G388"/>
  <c r="BL232"/>
  <c r="AZ232" s="1"/>
  <c r="BA241"/>
  <c r="AZ241" s="1"/>
  <c r="G263"/>
  <c r="BA272"/>
  <c r="AZ272" s="1"/>
  <c r="BL150"/>
  <c r="AZ150" s="1"/>
  <c r="BA154"/>
  <c r="AZ154" s="1"/>
  <c r="AZ171"/>
  <c r="BA185"/>
  <c r="AZ185" s="1"/>
  <c r="BA38"/>
  <c r="BA39"/>
  <c r="AZ39" s="1"/>
  <c r="BL75"/>
  <c r="BL386"/>
  <c r="BL216"/>
  <c r="AZ216" s="1"/>
  <c r="BA221"/>
  <c r="BA230"/>
  <c r="AZ230" s="1"/>
  <c r="BA258"/>
  <c r="AZ258" s="1"/>
  <c r="G282"/>
  <c r="BL122"/>
  <c r="AZ122" s="1"/>
  <c r="BA125"/>
  <c r="AZ125" s="1"/>
  <c r="BL144"/>
  <c r="AZ144" s="1"/>
  <c r="BA151"/>
  <c r="AZ151" s="1"/>
  <c r="BA152"/>
  <c r="AZ152" s="1"/>
  <c r="BL156"/>
  <c r="BA163"/>
  <c r="AZ163" s="1"/>
  <c r="BL177"/>
  <c r="AZ177" s="1"/>
  <c r="BA180"/>
  <c r="AZ180" s="1"/>
  <c r="BA181"/>
  <c r="AZ181" s="1"/>
  <c r="AZ29"/>
  <c r="BL33"/>
  <c r="AZ34"/>
  <c r="BL57"/>
  <c r="AZ57" s="1"/>
  <c r="BA75"/>
  <c r="AZ75" s="1"/>
  <c r="AZ76"/>
  <c r="BA222"/>
  <c r="AZ222" s="1"/>
  <c r="BL243"/>
  <c r="G255"/>
  <c r="G287"/>
  <c r="BA120"/>
  <c r="BL120"/>
  <c r="BA127"/>
  <c r="AZ127" s="1"/>
  <c r="BL134"/>
  <c r="AZ134" s="1"/>
  <c r="BL145"/>
  <c r="G170"/>
  <c r="BA179"/>
  <c r="AZ179" s="1"/>
  <c r="BA195"/>
  <c r="AZ195" s="1"/>
  <c r="BL22"/>
  <c r="AZ22" s="1"/>
  <c r="BL37"/>
  <c r="C25" i="59"/>
  <c r="D24"/>
  <c r="AB18"/>
  <c r="F18"/>
  <c r="AB3"/>
  <c r="BL204" i="3"/>
  <c r="AZ204" s="1"/>
  <c r="BL43"/>
  <c r="AZ43" s="1"/>
  <c r="BA68"/>
  <c r="AZ68" s="1"/>
  <c r="BA81"/>
  <c r="AZ81" s="1"/>
  <c r="P61" i="59"/>
  <c r="E60"/>
  <c r="AA13"/>
  <c r="AB6"/>
  <c r="BA42" i="3"/>
  <c r="AZ42" s="1"/>
  <c r="G46"/>
  <c r="BA50"/>
  <c r="AZ50" s="1"/>
  <c r="G55"/>
  <c r="BL69"/>
  <c r="BL78"/>
  <c r="BL83"/>
  <c r="BA86"/>
  <c r="AZ86" s="1"/>
  <c r="BL88"/>
  <c r="BL90"/>
  <c r="BL93"/>
  <c r="AZ93" s="1"/>
  <c r="G109"/>
  <c r="P27" i="6"/>
  <c r="C33" i="59"/>
  <c r="D32"/>
  <c r="V62"/>
  <c r="Q62"/>
  <c r="F61"/>
  <c r="BL52" i="3"/>
  <c r="AZ52" s="1"/>
  <c r="BA69"/>
  <c r="BA71"/>
  <c r="AZ71" s="1"/>
  <c r="BL73"/>
  <c r="BA78"/>
  <c r="BA83"/>
  <c r="BA85"/>
  <c r="AZ85" s="1"/>
  <c r="BA88"/>
  <c r="AZ88" s="1"/>
  <c r="BA89"/>
  <c r="AZ89" s="1"/>
  <c r="BL91"/>
  <c r="AZ91" s="1"/>
  <c r="E34" i="59"/>
  <c r="C46"/>
  <c r="D45"/>
  <c r="F50"/>
  <c r="V50" s="1"/>
  <c r="X20"/>
  <c r="BL198" i="3"/>
  <c r="BL53"/>
  <c r="AZ53" s="1"/>
  <c r="BL61"/>
  <c r="BA72"/>
  <c r="AZ72" s="1"/>
  <c r="BA94"/>
  <c r="AZ94" s="1"/>
  <c r="BL96"/>
  <c r="BL102"/>
  <c r="C57" i="59"/>
  <c r="D56"/>
  <c r="BL38" i="3"/>
  <c r="BA51"/>
  <c r="AZ51" s="1"/>
  <c r="BL62"/>
  <c r="BL74"/>
  <c r="BL92"/>
  <c r="BA95"/>
  <c r="AZ95" s="1"/>
  <c r="BL97"/>
  <c r="BL99"/>
  <c r="BL100"/>
  <c r="AZ100" s="1"/>
  <c r="BA102"/>
  <c r="AZ102" s="1"/>
  <c r="BA103"/>
  <c r="AZ103" s="1"/>
  <c r="BL105"/>
  <c r="BL110"/>
  <c r="BL111"/>
  <c r="I21" i="57"/>
  <c r="D1" s="1"/>
  <c r="E10" s="1"/>
  <c r="BA197" i="3"/>
  <c r="AZ197" s="1"/>
  <c r="BL55"/>
  <c r="AZ55" s="1"/>
  <c r="BA60"/>
  <c r="AZ60" s="1"/>
  <c r="BA63"/>
  <c r="AZ63" s="1"/>
  <c r="BL64"/>
  <c r="AZ64" s="1"/>
  <c r="BA74"/>
  <c r="AZ74" s="1"/>
  <c r="BA87"/>
  <c r="AZ87" s="1"/>
  <c r="BA92"/>
  <c r="AZ92" s="1"/>
  <c r="BA97"/>
  <c r="AZ97" s="1"/>
  <c r="BA104"/>
  <c r="AZ104" s="1"/>
  <c r="BL107"/>
  <c r="AZ107" s="1"/>
  <c r="BL108"/>
  <c r="BL109"/>
  <c r="AZ109" s="1"/>
  <c r="BA111"/>
  <c r="B54" i="59"/>
  <c r="S54" s="1"/>
  <c r="G193" i="3"/>
  <c r="G36"/>
  <c r="BL65"/>
  <c r="G81"/>
  <c r="BA99"/>
  <c r="AZ99" s="1"/>
  <c r="BL101"/>
  <c r="BL106"/>
  <c r="C53" i="59"/>
  <c r="D52"/>
  <c r="F21"/>
  <c r="F20" s="1"/>
  <c r="V22"/>
  <c r="Y11"/>
  <c r="Z11" s="1"/>
  <c r="BL190" i="3"/>
  <c r="AZ190" s="1"/>
  <c r="BA33"/>
  <c r="AZ33" s="1"/>
  <c r="BL47"/>
  <c r="BL56"/>
  <c r="BA65"/>
  <c r="AZ65" s="1"/>
  <c r="BA73"/>
  <c r="AZ73" s="1"/>
  <c r="BA101"/>
  <c r="BA106"/>
  <c r="AZ106" s="1"/>
  <c r="AZ108"/>
  <c r="AA21" i="37"/>
  <c r="S21"/>
  <c r="D69" i="59"/>
  <c r="C68"/>
  <c r="D68" s="1"/>
  <c r="BA47" i="3"/>
  <c r="BA56"/>
  <c r="AZ96"/>
  <c r="AA31" i="39"/>
  <c r="S31"/>
  <c r="AA27" i="59"/>
  <c r="E28"/>
  <c r="E29" s="1"/>
  <c r="E30" s="1"/>
  <c r="U30" s="1"/>
  <c r="C37"/>
  <c r="D36"/>
  <c r="S70"/>
  <c r="B69"/>
  <c r="B68" s="1"/>
  <c r="E13"/>
  <c r="E12" s="1"/>
  <c r="E11" s="1"/>
  <c r="BL29" i="3"/>
  <c r="BA46"/>
  <c r="AZ46" s="1"/>
  <c r="G60"/>
  <c r="G72"/>
  <c r="BL79"/>
  <c r="AZ79" s="1"/>
  <c r="BA105"/>
  <c r="BA110"/>
  <c r="G1" i="77"/>
  <c r="N4" i="63"/>
  <c r="X7" i="59"/>
  <c r="AA9"/>
  <c r="Y24"/>
  <c r="Z24" s="1"/>
  <c r="AA30"/>
  <c r="AB21"/>
  <c r="Y16"/>
  <c r="Z16" s="1"/>
  <c r="E17" i="71"/>
  <c r="E17" i="72"/>
  <c r="C16" s="1"/>
  <c r="AA12" i="59"/>
  <c r="AA11"/>
  <c r="X8"/>
  <c r="L100" i="46"/>
  <c r="S27" i="40"/>
  <c r="D40" i="59"/>
  <c r="AA3"/>
  <c r="AA24"/>
  <c r="AB27"/>
  <c r="AB30"/>
  <c r="AA21"/>
  <c r="X17"/>
  <c r="Y15"/>
  <c r="Z15" s="1"/>
  <c r="AB13"/>
  <c r="AB11"/>
  <c r="F34"/>
  <c r="V34" s="1"/>
  <c r="AB24"/>
  <c r="AA31"/>
  <c r="Y21"/>
  <c r="Z21" s="1"/>
  <c r="Y17"/>
  <c r="Z17" s="1"/>
  <c r="AA16"/>
  <c r="AB12"/>
  <c r="X10"/>
  <c r="AB5"/>
  <c r="X5"/>
  <c r="X25"/>
  <c r="Y28"/>
  <c r="Z28" s="1"/>
  <c r="AA10" i="46"/>
  <c r="X21" i="59"/>
  <c r="AA17"/>
  <c r="AA15"/>
  <c r="X14"/>
  <c r="Y10"/>
  <c r="Z10" s="1"/>
  <c r="AB7"/>
  <c r="X6"/>
  <c r="S18" i="35"/>
  <c r="C76" i="59"/>
  <c r="D76" s="1"/>
  <c r="C80"/>
  <c r="D80" s="1"/>
  <c r="C29"/>
  <c r="Y25"/>
  <c r="Z25" s="1"/>
  <c r="X27"/>
  <c r="AA28"/>
  <c r="AB31"/>
  <c r="X22"/>
  <c r="Y20"/>
  <c r="Z20" s="1"/>
  <c r="Y19"/>
  <c r="Z19" s="1"/>
  <c r="AB17"/>
  <c r="AB16"/>
  <c r="Y14"/>
  <c r="Z14" s="1"/>
  <c r="AA10"/>
  <c r="X9"/>
  <c r="D50"/>
  <c r="X23"/>
  <c r="AA25"/>
  <c r="AB28"/>
  <c r="Y22"/>
  <c r="Z22" s="1"/>
  <c r="AB20"/>
  <c r="AA19"/>
  <c r="AB15"/>
  <c r="AA14"/>
  <c r="AB10"/>
  <c r="AB8"/>
  <c r="Y8"/>
  <c r="Z8" s="1"/>
  <c r="AB25"/>
  <c r="Y27"/>
  <c r="Z27" s="1"/>
  <c r="X29"/>
  <c r="Y32"/>
  <c r="Z32" s="1"/>
  <c r="AA22"/>
  <c r="T18"/>
  <c r="E22"/>
  <c r="AB19"/>
  <c r="AB14"/>
  <c r="AB9"/>
  <c r="Y7"/>
  <c r="Z7" s="1"/>
  <c r="Y23"/>
  <c r="Z23" s="1"/>
  <c r="X26"/>
  <c r="Y29"/>
  <c r="Z29" s="1"/>
  <c r="X31"/>
  <c r="AA32"/>
  <c r="AB22"/>
  <c r="X19"/>
  <c r="X13"/>
  <c r="AA5"/>
  <c r="Y5"/>
  <c r="Z5" s="1"/>
  <c r="AA23"/>
  <c r="Y26"/>
  <c r="Z26" s="1"/>
  <c r="AA29"/>
  <c r="AB32"/>
  <c r="C22"/>
  <c r="X18"/>
  <c r="X12"/>
  <c r="AA6"/>
  <c r="Y6"/>
  <c r="Z6" s="1"/>
  <c r="B84" i="71"/>
  <c r="B84" i="72"/>
  <c r="E58" i="46"/>
  <c r="B56" s="1"/>
  <c r="B85" i="71"/>
  <c r="B85" i="72"/>
  <c r="AA26" i="59"/>
  <c r="AB29"/>
  <c r="Y31"/>
  <c r="Z31" s="1"/>
  <c r="B22"/>
  <c r="Y18"/>
  <c r="Z18" s="1"/>
  <c r="Y13"/>
  <c r="Z13" s="1"/>
  <c r="AA8"/>
  <c r="Y9"/>
  <c r="Z9" s="1"/>
  <c r="D23" i="15"/>
  <c r="AB23" i="59"/>
  <c r="AB26"/>
  <c r="Y33"/>
  <c r="Z33" s="1"/>
  <c r="AA20"/>
  <c r="AA18"/>
  <c r="X16"/>
  <c r="Y12"/>
  <c r="Z12" s="1"/>
  <c r="X11"/>
  <c r="AA7"/>
  <c r="W46" i="34"/>
  <c r="S46"/>
  <c r="U46"/>
  <c r="W46" i="33"/>
  <c r="U38"/>
  <c r="W38"/>
  <c r="S29"/>
  <c r="U29"/>
  <c r="M43" i="9"/>
  <c r="D18"/>
  <c r="M44" s="1"/>
  <c r="A30" i="64"/>
  <c r="A30" i="51"/>
  <c r="B22" i="63" s="1"/>
  <c r="B51" i="71"/>
  <c r="B72" i="72"/>
  <c r="B62"/>
  <c r="B51"/>
  <c r="B72" i="71"/>
  <c r="B62"/>
  <c r="B72" i="46"/>
  <c r="B76" i="71"/>
  <c r="B55"/>
  <c r="B76" i="72"/>
  <c r="B66"/>
  <c r="B55"/>
  <c r="B66" i="71"/>
  <c r="H113" i="33"/>
  <c r="I113" s="1"/>
  <c r="J113" s="1"/>
  <c r="K113" s="1"/>
  <c r="L113" s="1"/>
  <c r="M113" s="1"/>
  <c r="F85"/>
  <c r="G85" s="1"/>
  <c r="H23"/>
  <c r="U23" s="1"/>
  <c r="F23"/>
  <c r="AA23" s="1"/>
  <c r="B74" i="72"/>
  <c r="B54"/>
  <c r="B74" i="71"/>
  <c r="B65"/>
  <c r="B54"/>
  <c r="B65" i="72"/>
  <c r="B64"/>
  <c r="B53"/>
  <c r="B73" i="71"/>
  <c r="B73" i="72"/>
  <c r="B64" i="71"/>
  <c r="B53"/>
  <c r="B73" i="46"/>
  <c r="B70" i="72"/>
  <c r="B70" i="71"/>
  <c r="B48"/>
  <c r="B59" i="72"/>
  <c r="B48"/>
  <c r="B59" i="71"/>
  <c r="B59" i="46"/>
  <c r="C23" i="39"/>
  <c r="B70" i="46"/>
  <c r="B58" i="71"/>
  <c r="B58" i="72"/>
  <c r="B47"/>
  <c r="B47" i="71"/>
  <c r="E29" i="6"/>
  <c r="K15" i="1" s="1"/>
  <c r="W10" i="34"/>
  <c r="W25"/>
  <c r="W23"/>
  <c r="U15"/>
  <c r="AB8"/>
  <c r="AB38"/>
  <c r="U39"/>
  <c r="F88"/>
  <c r="G88" s="1"/>
  <c r="H88" s="1"/>
  <c r="I88" s="1"/>
  <c r="J88" s="1"/>
  <c r="K88" s="1"/>
  <c r="L88" s="1"/>
  <c r="M88" s="1"/>
  <c r="F25"/>
  <c r="S25" s="1"/>
  <c r="F82"/>
  <c r="G82" s="1"/>
  <c r="H19"/>
  <c r="J19"/>
  <c r="F19"/>
  <c r="AA19" s="1"/>
  <c r="AC43"/>
  <c r="W44"/>
  <c r="H112"/>
  <c r="I112" s="1"/>
  <c r="J112" s="1"/>
  <c r="K112" s="1"/>
  <c r="L112" s="1"/>
  <c r="M112" s="1"/>
  <c r="F37"/>
  <c r="H37"/>
  <c r="J37"/>
  <c r="AA23"/>
  <c r="AA15"/>
  <c r="W35"/>
  <c r="W33"/>
  <c r="AC40"/>
  <c r="AB40"/>
  <c r="AC41"/>
  <c r="S43"/>
  <c r="AA44"/>
  <c r="F101" i="33"/>
  <c r="F32" s="1"/>
  <c r="F111"/>
  <c r="AA33" i="34"/>
  <c r="AA36"/>
  <c r="AB36"/>
  <c r="AC36"/>
  <c r="AB35"/>
  <c r="AC28"/>
  <c r="AA28"/>
  <c r="AA27"/>
  <c r="J42" i="33"/>
  <c r="AC42" s="1"/>
  <c r="H42"/>
  <c r="U42" s="1"/>
  <c r="G87"/>
  <c r="H25"/>
  <c r="AB25" s="1"/>
  <c r="F25"/>
  <c r="S25" s="1"/>
  <c r="U11" i="34"/>
  <c r="U23"/>
  <c r="S21"/>
  <c r="W17"/>
  <c r="S17"/>
  <c r="AC15"/>
  <c r="S10"/>
  <c r="U10"/>
  <c r="U9"/>
  <c r="S9"/>
  <c r="AC23" i="33"/>
  <c r="AC17"/>
  <c r="U17"/>
  <c r="G123"/>
  <c r="H123" s="1"/>
  <c r="I123" s="1"/>
  <c r="J123" s="1"/>
  <c r="K123" s="1"/>
  <c r="L123" s="1"/>
  <c r="M123" s="1"/>
  <c r="F42"/>
  <c r="AA42" s="1"/>
  <c r="F77"/>
  <c r="G77" s="1"/>
  <c r="F15"/>
  <c r="J15"/>
  <c r="W15" s="1"/>
  <c r="H15"/>
  <c r="F19"/>
  <c r="S19" s="1"/>
  <c r="H19"/>
  <c r="F81"/>
  <c r="G81" s="1"/>
  <c r="J19"/>
  <c r="S26"/>
  <c r="AB10"/>
  <c r="S10"/>
  <c r="W10"/>
  <c r="AB11"/>
  <c r="AC11"/>
  <c r="S43"/>
  <c r="AB43"/>
  <c r="AA41"/>
  <c r="U41"/>
  <c r="U39"/>
  <c r="W42"/>
  <c r="W41"/>
  <c r="S39"/>
  <c r="U37"/>
  <c r="S37"/>
  <c r="AC37"/>
  <c r="U35"/>
  <c r="S35"/>
  <c r="AC35"/>
  <c r="W34"/>
  <c r="AA34"/>
  <c r="W27"/>
  <c r="AB26"/>
  <c r="AC28"/>
  <c r="AA27"/>
  <c r="AC8"/>
  <c r="S9"/>
  <c r="W9"/>
  <c r="AB9"/>
  <c r="S17"/>
  <c r="I20" i="72"/>
  <c r="BB5" i="3"/>
  <c r="E5" i="6" s="1"/>
  <c r="D12" i="11" s="1"/>
  <c r="C12" s="1"/>
  <c r="BA5" i="3"/>
  <c r="E69" i="46"/>
  <c r="B67" s="1"/>
  <c r="C24" s="1"/>
  <c r="H9" i="68"/>
  <c r="C9" s="1"/>
  <c r="F21" i="6"/>
  <c r="E21" s="1"/>
  <c r="C10" i="12"/>
  <c r="C6" s="1"/>
  <c r="C24" s="1"/>
  <c r="E20" i="6"/>
  <c r="W10" i="21"/>
  <c r="U9"/>
  <c r="AA9"/>
  <c r="AB10"/>
  <c r="W8"/>
  <c r="AP8" i="1"/>
  <c r="G8"/>
  <c r="G7"/>
  <c r="AP7"/>
  <c r="C42"/>
  <c r="G19" i="72"/>
  <c r="G19" i="71"/>
  <c r="D96" i="9"/>
  <c r="B41" i="1"/>
  <c r="F72" i="9" s="1"/>
  <c r="G21" i="43"/>
  <c r="G27" i="12"/>
  <c r="G28" i="70"/>
  <c r="G26"/>
  <c r="G26" i="69"/>
  <c r="G27" i="70"/>
  <c r="G27" i="69"/>
  <c r="G28"/>
  <c r="C2" i="65"/>
  <c r="K1" i="69"/>
  <c r="K1" i="70"/>
  <c r="I4" i="6"/>
  <c r="F30"/>
  <c r="E20" i="72"/>
  <c r="E20" i="71"/>
  <c r="N16" i="4"/>
  <c r="K17" s="1"/>
  <c r="D70" i="39"/>
  <c r="C72"/>
  <c r="C67" i="40"/>
  <c r="G17" i="46"/>
  <c r="C16" s="1"/>
  <c r="BL13" i="3"/>
  <c r="BL5" s="1"/>
  <c r="L19" i="6"/>
  <c r="L27" s="1"/>
  <c r="C15" i="43"/>
  <c r="H12" i="48"/>
  <c r="G6" i="1"/>
  <c r="I20" i="46"/>
  <c r="I46" i="36"/>
  <c r="J46" s="1"/>
  <c r="K46" s="1"/>
  <c r="L46" s="1"/>
  <c r="M46" s="1"/>
  <c r="N46" s="1"/>
  <c r="O46" s="1"/>
  <c r="L52" i="37"/>
  <c r="M52" s="1"/>
  <c r="N52" s="1"/>
  <c r="O52" s="1"/>
  <c r="D58" i="21"/>
  <c r="D59" i="34"/>
  <c r="A25" i="51"/>
  <c r="B18" i="63" s="1"/>
  <c r="C95" i="9"/>
  <c r="C92" s="1"/>
  <c r="H71" i="46"/>
  <c r="G71" s="1"/>
  <c r="H75"/>
  <c r="G75" s="1"/>
  <c r="H72"/>
  <c r="G72" s="1"/>
  <c r="H77"/>
  <c r="G77" s="1"/>
  <c r="H70"/>
  <c r="G70" s="1"/>
  <c r="H73"/>
  <c r="G73" s="1"/>
  <c r="H74"/>
  <c r="G74" s="1"/>
  <c r="H69"/>
  <c r="G69" s="1"/>
  <c r="H76"/>
  <c r="G76" s="1"/>
  <c r="F28" i="15"/>
  <c r="C28" s="1"/>
  <c r="F30" i="44"/>
  <c r="C30" s="1"/>
  <c r="M20"/>
  <c r="F70" i="9"/>
  <c r="F32" i="15"/>
  <c r="F59" s="1"/>
  <c r="F66" i="9"/>
  <c r="P72" s="1"/>
  <c r="O9" i="1"/>
  <c r="P9" s="1"/>
  <c r="O6"/>
  <c r="E10" i="6"/>
  <c r="C5" i="46"/>
  <c r="C18" i="11"/>
  <c r="K77" i="9"/>
  <c r="K79" s="1"/>
  <c r="K81" s="1"/>
  <c r="E12" i="52"/>
  <c r="B15"/>
  <c r="E10" i="59"/>
  <c r="B10"/>
  <c r="B4" i="52"/>
  <c r="B7"/>
  <c r="E14"/>
  <c r="E6"/>
  <c r="E11"/>
  <c r="E9"/>
  <c r="E7"/>
  <c r="B9"/>
  <c r="E4"/>
  <c r="E13"/>
  <c r="B8"/>
  <c r="E10"/>
  <c r="B10"/>
  <c r="B6"/>
  <c r="B5"/>
  <c r="B11"/>
  <c r="B12"/>
  <c r="E8"/>
  <c r="B14"/>
  <c r="E5"/>
  <c r="Y3" i="59"/>
  <c r="Z3" s="1"/>
  <c r="P22" i="46"/>
  <c r="P24"/>
  <c r="B68" i="40" s="1"/>
  <c r="P23" i="46"/>
  <c r="P25"/>
  <c r="B73" i="39" s="1"/>
  <c r="P21" i="46"/>
  <c r="E20"/>
  <c r="Q73" i="44"/>
  <c r="C29"/>
  <c r="J1" i="65"/>
  <c r="F67" i="15"/>
  <c r="I1" i="65"/>
  <c r="M9" i="44"/>
  <c r="J8" s="1"/>
  <c r="L60"/>
  <c r="L59"/>
  <c r="I55"/>
  <c r="J54"/>
  <c r="L57"/>
  <c r="J58"/>
  <c r="J56" s="1"/>
  <c r="J59" s="1"/>
  <c r="Q52" s="1"/>
  <c r="J60"/>
  <c r="J61"/>
  <c r="Q50" s="1"/>
  <c r="C4" i="65"/>
  <c r="B39" i="1" s="1"/>
  <c r="L48" i="15"/>
  <c r="M26"/>
  <c r="I7" i="65"/>
  <c r="F9" i="15"/>
  <c r="D21" i="69"/>
  <c r="M28" i="15"/>
  <c r="F36"/>
  <c r="F8"/>
  <c r="J4" i="65"/>
  <c r="M23" i="15"/>
  <c r="F33" i="12"/>
  <c r="D21" i="70"/>
  <c r="M9" i="15"/>
  <c r="J15"/>
  <c r="L47"/>
  <c r="F37"/>
  <c r="F40" i="44"/>
  <c r="F38" i="15"/>
  <c r="D21" i="12"/>
  <c r="E2" i="65"/>
  <c r="M24" i="44"/>
  <c r="F42" i="15"/>
  <c r="M6"/>
  <c r="F46" i="44"/>
  <c r="F8"/>
  <c r="C18"/>
  <c r="M22" i="15"/>
  <c r="F26"/>
  <c r="M27"/>
  <c r="F16"/>
  <c r="I3" i="65"/>
  <c r="M8" i="15"/>
  <c r="J36"/>
  <c r="J7" i="65"/>
  <c r="E3"/>
  <c r="S19" i="34" l="1"/>
  <c r="F7" i="36"/>
  <c r="H7"/>
  <c r="AA32" i="40"/>
  <c r="S32"/>
  <c r="AC32"/>
  <c r="W32"/>
  <c r="U17" i="34"/>
  <c r="F50" i="15"/>
  <c r="F65"/>
  <c r="F33" i="44"/>
  <c r="C8"/>
  <c r="F63" i="15"/>
  <c r="Q72"/>
  <c r="L59"/>
  <c r="Q62" s="1"/>
  <c r="L58"/>
  <c r="Q74" s="1"/>
  <c r="C27"/>
  <c r="F64"/>
  <c r="J57"/>
  <c r="J55" s="1"/>
  <c r="J58" s="1"/>
  <c r="Q51" s="1"/>
  <c r="J53"/>
  <c r="F1" s="1"/>
  <c r="I54"/>
  <c r="L56"/>
  <c r="E28" i="6"/>
  <c r="K14" i="1" s="1"/>
  <c r="M14" s="1"/>
  <c r="O14" s="1"/>
  <c r="P14" s="1"/>
  <c r="G30" i="6"/>
  <c r="G31" s="1"/>
  <c r="AA32" i="33"/>
  <c r="S32"/>
  <c r="T46" i="59"/>
  <c r="D46"/>
  <c r="C58"/>
  <c r="D57"/>
  <c r="AZ433" i="3"/>
  <c r="E9" i="59"/>
  <c r="E8" s="1"/>
  <c r="E7" s="1"/>
  <c r="E6" s="1"/>
  <c r="U10"/>
  <c r="AZ13" i="3"/>
  <c r="AZ56"/>
  <c r="AZ136"/>
  <c r="AZ318"/>
  <c r="AZ451"/>
  <c r="AC47" i="34"/>
  <c r="W47"/>
  <c r="AZ47" i="3"/>
  <c r="V18" i="59"/>
  <c r="F17"/>
  <c r="F16" s="1"/>
  <c r="F15" s="1"/>
  <c r="F14" s="1"/>
  <c r="AZ156" i="3"/>
  <c r="AZ90"/>
  <c r="AZ246"/>
  <c r="G101" i="33"/>
  <c r="J32"/>
  <c r="C16" i="71"/>
  <c r="B32" i="1"/>
  <c r="B9" i="59"/>
  <c r="B8" s="1"/>
  <c r="B7" s="1"/>
  <c r="B6" s="1"/>
  <c r="S10"/>
  <c r="C34"/>
  <c r="D33"/>
  <c r="W25" i="37"/>
  <c r="AC25"/>
  <c r="E8" i="6"/>
  <c r="E53" i="40" s="1"/>
  <c r="AA19" i="33"/>
  <c r="S22" i="59"/>
  <c r="B21"/>
  <c r="B20" s="1"/>
  <c r="AZ423" i="3"/>
  <c r="AZ413"/>
  <c r="AB28" i="34"/>
  <c r="U28"/>
  <c r="S25" i="37"/>
  <c r="AA25"/>
  <c r="E11" i="6"/>
  <c r="E58" i="40" s="1"/>
  <c r="J7" i="36"/>
  <c r="E15" i="6"/>
  <c r="AB42" i="33"/>
  <c r="S23"/>
  <c r="D22" i="59"/>
  <c r="T22"/>
  <c r="C21"/>
  <c r="AZ111" i="3"/>
  <c r="AZ83"/>
  <c r="C26" i="59"/>
  <c r="D25"/>
  <c r="AZ120" i="3"/>
  <c r="AZ221"/>
  <c r="AZ235"/>
  <c r="U25" i="37"/>
  <c r="AB25"/>
  <c r="F60" i="59"/>
  <c r="Q61"/>
  <c r="E12" i="6"/>
  <c r="AB27" i="33"/>
  <c r="AZ78" i="3"/>
  <c r="AZ128"/>
  <c r="AZ399"/>
  <c r="U12" i="35"/>
  <c r="AB12"/>
  <c r="W12"/>
  <c r="AC12"/>
  <c r="E14" i="6"/>
  <c r="E66" i="39" s="1"/>
  <c r="E21" i="59"/>
  <c r="E20" s="1"/>
  <c r="U22"/>
  <c r="U34"/>
  <c r="M19" i="46"/>
  <c r="AB23" i="33"/>
  <c r="C30" i="59"/>
  <c r="D29"/>
  <c r="D37"/>
  <c r="C38"/>
  <c r="P59"/>
  <c r="P60"/>
  <c r="AZ62" i="3"/>
  <c r="AZ133"/>
  <c r="AZ412"/>
  <c r="AZ395"/>
  <c r="AA45" i="21"/>
  <c r="S45"/>
  <c r="U34" i="36"/>
  <c r="AB34"/>
  <c r="E13" i="6"/>
  <c r="U25" i="33"/>
  <c r="AZ110" i="3"/>
  <c r="D53" i="59"/>
  <c r="C54"/>
  <c r="U45" i="21"/>
  <c r="AB45"/>
  <c r="AC34" i="36"/>
  <c r="W34"/>
  <c r="G5" i="3"/>
  <c r="B3" s="1"/>
  <c r="E36" s="1"/>
  <c r="AC9" i="21"/>
  <c r="W9"/>
  <c r="M83" i="9"/>
  <c r="N83" s="1"/>
  <c r="N89" s="1"/>
  <c r="O89" s="1"/>
  <c r="M84"/>
  <c r="N84" s="1"/>
  <c r="M86"/>
  <c r="N86" s="1"/>
  <c r="M87"/>
  <c r="N87" s="1"/>
  <c r="M88"/>
  <c r="N88" s="1"/>
  <c r="M85"/>
  <c r="N85" s="1"/>
  <c r="AZ105" i="3"/>
  <c r="AZ101"/>
  <c r="AZ69"/>
  <c r="AZ240"/>
  <c r="AZ400"/>
  <c r="D5" i="72"/>
  <c r="C5"/>
  <c r="D4" i="68"/>
  <c r="AZ38" i="3"/>
  <c r="AA25" i="35"/>
  <c r="S25"/>
  <c r="C12" i="59"/>
  <c r="D13"/>
  <c r="F7" i="35"/>
  <c r="AA7" s="1"/>
  <c r="R38" s="1"/>
  <c r="F28" i="77"/>
  <c r="C28" s="1"/>
  <c r="M18"/>
  <c r="F32"/>
  <c r="F59" s="1"/>
  <c r="AA25" i="34"/>
  <c r="E30" i="6"/>
  <c r="AB19" i="34"/>
  <c r="U19"/>
  <c r="AC19"/>
  <c r="W19"/>
  <c r="AC37"/>
  <c r="W37"/>
  <c r="AA37"/>
  <c r="S37"/>
  <c r="AB37"/>
  <c r="U37"/>
  <c r="H101" i="33"/>
  <c r="I101" s="1"/>
  <c r="J101" s="1"/>
  <c r="K101" s="1"/>
  <c r="L101" s="1"/>
  <c r="M101" s="1"/>
  <c r="H32"/>
  <c r="G111"/>
  <c r="J36" s="1"/>
  <c r="AC15"/>
  <c r="AA25"/>
  <c r="J25"/>
  <c r="H87"/>
  <c r="I87" s="1"/>
  <c r="J87" s="1"/>
  <c r="K87" s="1"/>
  <c r="L87" s="1"/>
  <c r="M87" s="1"/>
  <c r="S42"/>
  <c r="U15"/>
  <c r="AB15"/>
  <c r="AA15"/>
  <c r="S15"/>
  <c r="W19"/>
  <c r="AC19"/>
  <c r="U19"/>
  <c r="AB19"/>
  <c r="M11" i="77"/>
  <c r="J10" s="1"/>
  <c r="F11"/>
  <c r="M76" i="46"/>
  <c r="N76" s="1"/>
  <c r="K76"/>
  <c r="J76" s="1"/>
  <c r="M70"/>
  <c r="N70" s="1"/>
  <c r="K70"/>
  <c r="J70" s="1"/>
  <c r="K72"/>
  <c r="J72" s="1"/>
  <c r="M72"/>
  <c r="N72" s="1"/>
  <c r="M71"/>
  <c r="N71" s="1"/>
  <c r="K71"/>
  <c r="J71" s="1"/>
  <c r="K69"/>
  <c r="J69" s="1"/>
  <c r="M69"/>
  <c r="N69" s="1"/>
  <c r="M73"/>
  <c r="N73" s="1"/>
  <c r="K73"/>
  <c r="J73" s="1"/>
  <c r="K77"/>
  <c r="J77" s="1"/>
  <c r="M77"/>
  <c r="N77" s="1"/>
  <c r="M75"/>
  <c r="N75" s="1"/>
  <c r="K75"/>
  <c r="J75" s="1"/>
  <c r="M74"/>
  <c r="N74" s="1"/>
  <c r="K74"/>
  <c r="J74" s="1"/>
  <c r="K8" i="1"/>
  <c r="C9" i="69"/>
  <c r="C9" i="70"/>
  <c r="C33" i="33" s="1"/>
  <c r="K7" i="1"/>
  <c r="C4" i="73"/>
  <c r="H12" i="68"/>
  <c r="H7" i="35"/>
  <c r="AB7" s="1"/>
  <c r="T38" s="1"/>
  <c r="G38" s="1"/>
  <c r="C21" i="69"/>
  <c r="C21" i="70"/>
  <c r="C21" i="12"/>
  <c r="C34"/>
  <c r="D33" s="1"/>
  <c r="J7" i="35"/>
  <c r="P24" i="72"/>
  <c r="P25"/>
  <c r="P21"/>
  <c r="O19"/>
  <c r="F4" i="68" s="1"/>
  <c r="P23" i="72"/>
  <c r="P22"/>
  <c r="P22" i="71"/>
  <c r="P23"/>
  <c r="P25"/>
  <c r="P24"/>
  <c r="P21"/>
  <c r="O19"/>
  <c r="F3" i="68" s="1"/>
  <c r="D5" i="46"/>
  <c r="F34" i="44"/>
  <c r="C34" s="1"/>
  <c r="F29" i="69"/>
  <c r="F29" i="70"/>
  <c r="F27" i="43"/>
  <c r="C27" s="1"/>
  <c r="D86" i="9"/>
  <c r="F71"/>
  <c r="F29" i="12"/>
  <c r="C29" s="1"/>
  <c r="F31" i="43"/>
  <c r="C31" s="1"/>
  <c r="M18" i="15"/>
  <c r="E58" i="39"/>
  <c r="F27" i="6"/>
  <c r="P28" i="72"/>
  <c r="N28"/>
  <c r="G20" s="1"/>
  <c r="O28"/>
  <c r="M28"/>
  <c r="O28" i="71"/>
  <c r="M28"/>
  <c r="G20" s="1"/>
  <c r="P28"/>
  <c r="N28"/>
  <c r="F7" i="37"/>
  <c r="AA7" s="1"/>
  <c r="R42" s="1"/>
  <c r="D67" i="40"/>
  <c r="E65"/>
  <c r="E70" i="39"/>
  <c r="D72"/>
  <c r="E16" i="6"/>
  <c r="E67" i="39"/>
  <c r="E62" i="40"/>
  <c r="E63" i="39"/>
  <c r="E59" i="40"/>
  <c r="E64" i="39"/>
  <c r="J7" i="37"/>
  <c r="W7" s="1"/>
  <c r="H7"/>
  <c r="AB7" s="1"/>
  <c r="T42" s="1"/>
  <c r="G42" s="1"/>
  <c r="AB7" i="36"/>
  <c r="T36" s="1"/>
  <c r="G36" s="1"/>
  <c r="U7"/>
  <c r="S7"/>
  <c r="AA7"/>
  <c r="R36" s="1"/>
  <c r="AC7" i="35"/>
  <c r="V38" s="1"/>
  <c r="I38" s="1"/>
  <c r="W7"/>
  <c r="E59" i="34"/>
  <c r="E58" i="21"/>
  <c r="E58" i="33"/>
  <c r="W7" i="36"/>
  <c r="AC7"/>
  <c r="V36" s="1"/>
  <c r="I36" s="1"/>
  <c r="E60" i="40"/>
  <c r="E65" i="39"/>
  <c r="P6" i="1"/>
  <c r="M19" i="44"/>
  <c r="C19" i="46"/>
  <c r="B40" i="1"/>
  <c r="F24" i="77" s="1"/>
  <c r="F17" i="11"/>
  <c r="C17" s="1"/>
  <c r="C19" s="1"/>
  <c r="L47" i="44"/>
  <c r="M13"/>
  <c r="J12" s="1"/>
  <c r="J7" s="1"/>
  <c r="F11" i="15"/>
  <c r="M11"/>
  <c r="J10" s="1"/>
  <c r="F13" i="44"/>
  <c r="C12" s="1"/>
  <c r="Q75"/>
  <c r="Q62"/>
  <c r="M28" i="46"/>
  <c r="P28"/>
  <c r="O28"/>
  <c r="G20" s="1"/>
  <c r="N28"/>
  <c r="F1" i="44"/>
  <c r="Q54"/>
  <c r="J20"/>
  <c r="Q63"/>
  <c r="Q76"/>
  <c r="AE7" i="1"/>
  <c r="J36" i="77"/>
  <c r="F40"/>
  <c r="M24"/>
  <c r="L48"/>
  <c r="M22"/>
  <c r="F36"/>
  <c r="F9"/>
  <c r="M27"/>
  <c r="F33" i="69"/>
  <c r="F13" i="77"/>
  <c r="M29" i="15"/>
  <c r="M29" i="77"/>
  <c r="F43"/>
  <c r="F16"/>
  <c r="F43" i="15"/>
  <c r="M9" i="77"/>
  <c r="F33" i="70"/>
  <c r="F7" i="77"/>
  <c r="F37"/>
  <c r="F7" i="15"/>
  <c r="F38" i="77"/>
  <c r="L47"/>
  <c r="M26"/>
  <c r="F42"/>
  <c r="M28"/>
  <c r="F8"/>
  <c r="M6"/>
  <c r="F26"/>
  <c r="M8"/>
  <c r="J15"/>
  <c r="M23"/>
  <c r="E118" i="3" l="1"/>
  <c r="E55"/>
  <c r="E81"/>
  <c r="E347"/>
  <c r="E388"/>
  <c r="E345"/>
  <c r="E450"/>
  <c r="E177"/>
  <c r="E212"/>
  <c r="E231"/>
  <c r="E465"/>
  <c r="Q61" i="15"/>
  <c r="Q75"/>
  <c r="C7" i="44"/>
  <c r="C40" s="1"/>
  <c r="F64" i="77"/>
  <c r="L59"/>
  <c r="L58"/>
  <c r="F65"/>
  <c r="F50"/>
  <c r="F67"/>
  <c r="Q72"/>
  <c r="L56"/>
  <c r="J57"/>
  <c r="J55" s="1"/>
  <c r="J58" s="1"/>
  <c r="Q51" s="1"/>
  <c r="I54"/>
  <c r="J53"/>
  <c r="F63"/>
  <c r="C27"/>
  <c r="U7" i="35"/>
  <c r="E563" i="3"/>
  <c r="T54" i="59"/>
  <c r="D54"/>
  <c r="E46" i="3"/>
  <c r="E282"/>
  <c r="T26" i="59"/>
  <c r="D26"/>
  <c r="D21"/>
  <c r="C20"/>
  <c r="D20" s="1"/>
  <c r="F13"/>
  <c r="F12" s="1"/>
  <c r="F11" s="1"/>
  <c r="F10" s="1"/>
  <c r="V14"/>
  <c r="E255" i="3"/>
  <c r="Q60" i="59"/>
  <c r="Q59"/>
  <c r="M19" i="71"/>
  <c r="T34" i="59"/>
  <c r="D34"/>
  <c r="M19" i="72" s="1"/>
  <c r="C11" i="59"/>
  <c r="D12"/>
  <c r="E239" i="3"/>
  <c r="E214"/>
  <c r="AZ5"/>
  <c r="Q53" i="15"/>
  <c r="E280" i="3"/>
  <c r="E428"/>
  <c r="E478"/>
  <c r="E383"/>
  <c r="E233"/>
  <c r="E172"/>
  <c r="E145"/>
  <c r="E309"/>
  <c r="E105"/>
  <c r="E121"/>
  <c r="E419"/>
  <c r="E66"/>
  <c r="E271"/>
  <c r="E180"/>
  <c r="E108"/>
  <c r="E16"/>
  <c r="E524"/>
  <c r="E498"/>
  <c r="E35"/>
  <c r="E315"/>
  <c r="E312"/>
  <c r="E501"/>
  <c r="E371"/>
  <c r="E487"/>
  <c r="E26"/>
  <c r="E511"/>
  <c r="E18"/>
  <c r="E20"/>
  <c r="AO6"/>
  <c r="E206"/>
  <c r="E91"/>
  <c r="E195"/>
  <c r="E127"/>
  <c r="I6"/>
  <c r="E454"/>
  <c r="E288"/>
  <c r="E300"/>
  <c r="E59"/>
  <c r="E165"/>
  <c r="E80"/>
  <c r="E550"/>
  <c r="E275"/>
  <c r="E116"/>
  <c r="E154"/>
  <c r="Y6"/>
  <c r="E65"/>
  <c r="E198"/>
  <c r="AF6"/>
  <c r="E362"/>
  <c r="E228"/>
  <c r="E502"/>
  <c r="E325"/>
  <c r="E183"/>
  <c r="E392"/>
  <c r="E284"/>
  <c r="T6"/>
  <c r="E269"/>
  <c r="E506"/>
  <c r="E518"/>
  <c r="E566"/>
  <c r="E494"/>
  <c r="E341"/>
  <c r="E175"/>
  <c r="E380"/>
  <c r="E476"/>
  <c r="E348"/>
  <c r="E375"/>
  <c r="E124"/>
  <c r="E430"/>
  <c r="E434"/>
  <c r="E270"/>
  <c r="E100"/>
  <c r="E317"/>
  <c r="E247"/>
  <c r="E261"/>
  <c r="E480"/>
  <c r="E517"/>
  <c r="E58"/>
  <c r="E162"/>
  <c r="E61"/>
  <c r="E120"/>
  <c r="E355"/>
  <c r="E538"/>
  <c r="E173"/>
  <c r="E432"/>
  <c r="E30"/>
  <c r="E141"/>
  <c r="E189"/>
  <c r="L6"/>
  <c r="E372"/>
  <c r="E243"/>
  <c r="AR6"/>
  <c r="E51"/>
  <c r="E290"/>
  <c r="E331"/>
  <c r="E559"/>
  <c r="E314"/>
  <c r="E334"/>
  <c r="E286"/>
  <c r="E216"/>
  <c r="E45"/>
  <c r="E360"/>
  <c r="E181"/>
  <c r="E219"/>
  <c r="E562"/>
  <c r="E497"/>
  <c r="E515"/>
  <c r="E273"/>
  <c r="E254"/>
  <c r="E268"/>
  <c r="E318"/>
  <c r="E503"/>
  <c r="E192"/>
  <c r="E93"/>
  <c r="E409"/>
  <c r="E222"/>
  <c r="E146"/>
  <c r="E552"/>
  <c r="AN6"/>
  <c r="E441"/>
  <c r="E407"/>
  <c r="E467"/>
  <c r="E543"/>
  <c r="E416"/>
  <c r="E160"/>
  <c r="E128"/>
  <c r="E491"/>
  <c r="E456"/>
  <c r="E260"/>
  <c r="E153"/>
  <c r="E531"/>
  <c r="E344"/>
  <c r="E342"/>
  <c r="E350"/>
  <c r="E352"/>
  <c r="E71"/>
  <c r="E544"/>
  <c r="E13"/>
  <c r="E115"/>
  <c r="E424"/>
  <c r="E508"/>
  <c r="E366"/>
  <c r="E358"/>
  <c r="E157"/>
  <c r="E505"/>
  <c r="E210"/>
  <c r="E484"/>
  <c r="E22"/>
  <c r="E464"/>
  <c r="E533"/>
  <c r="E402"/>
  <c r="E264"/>
  <c r="E448"/>
  <c r="E134"/>
  <c r="E302"/>
  <c r="E29"/>
  <c r="E353"/>
  <c r="E171"/>
  <c r="E361"/>
  <c r="E323"/>
  <c r="AB6"/>
  <c r="E446"/>
  <c r="E83"/>
  <c r="E103"/>
  <c r="E385"/>
  <c r="E161"/>
  <c r="E560"/>
  <c r="E107"/>
  <c r="E220"/>
  <c r="E453"/>
  <c r="E285"/>
  <c r="E433"/>
  <c r="E555"/>
  <c r="E499"/>
  <c r="E217"/>
  <c r="E320"/>
  <c r="E251"/>
  <c r="E122"/>
  <c r="E163"/>
  <c r="E532"/>
  <c r="E521"/>
  <c r="E406"/>
  <c r="E155"/>
  <c r="E541"/>
  <c r="E86"/>
  <c r="E132"/>
  <c r="E359"/>
  <c r="E186"/>
  <c r="E548"/>
  <c r="AK6"/>
  <c r="E415"/>
  <c r="E67"/>
  <c r="E370"/>
  <c r="E477"/>
  <c r="E242"/>
  <c r="E87"/>
  <c r="E176"/>
  <c r="E569"/>
  <c r="E307"/>
  <c r="E182"/>
  <c r="E512"/>
  <c r="E567"/>
  <c r="E461"/>
  <c r="E509"/>
  <c r="E37"/>
  <c r="E525"/>
  <c r="E485"/>
  <c r="E17"/>
  <c r="M6"/>
  <c r="E152"/>
  <c r="E570"/>
  <c r="AD6"/>
  <c r="E200"/>
  <c r="E57"/>
  <c r="E28"/>
  <c r="E420"/>
  <c r="E369"/>
  <c r="E96"/>
  <c r="E224"/>
  <c r="E234"/>
  <c r="E188"/>
  <c r="E319"/>
  <c r="E546"/>
  <c r="E339"/>
  <c r="E144"/>
  <c r="E364"/>
  <c r="E522"/>
  <c r="E553"/>
  <c r="E488"/>
  <c r="E240"/>
  <c r="E565"/>
  <c r="E68"/>
  <c r="E439"/>
  <c r="E457"/>
  <c r="E311"/>
  <c r="E164"/>
  <c r="E143"/>
  <c r="E299"/>
  <c r="E437"/>
  <c r="E62"/>
  <c r="E404"/>
  <c r="E526"/>
  <c r="E554"/>
  <c r="E483"/>
  <c r="E557"/>
  <c r="E459"/>
  <c r="E99"/>
  <c r="E367"/>
  <c r="E24"/>
  <c r="E169"/>
  <c r="E542"/>
  <c r="E413"/>
  <c r="E131"/>
  <c r="E357"/>
  <c r="E507"/>
  <c r="E336"/>
  <c r="E74"/>
  <c r="E281"/>
  <c r="E386"/>
  <c r="E150"/>
  <c r="E493"/>
  <c r="E396"/>
  <c r="E474"/>
  <c r="E354"/>
  <c r="E335"/>
  <c r="E330"/>
  <c r="E516"/>
  <c r="E138"/>
  <c r="E252"/>
  <c r="E326"/>
  <c r="E475"/>
  <c r="E333"/>
  <c r="E528"/>
  <c r="E266"/>
  <c r="Z6"/>
  <c r="E237"/>
  <c r="E179"/>
  <c r="E111"/>
  <c r="E393"/>
  <c r="AQ6"/>
  <c r="E235"/>
  <c r="E529"/>
  <c r="E379"/>
  <c r="E558"/>
  <c r="E436"/>
  <c r="E95"/>
  <c r="E298"/>
  <c r="E495"/>
  <c r="E159"/>
  <c r="E384"/>
  <c r="E496"/>
  <c r="S6"/>
  <c r="E377"/>
  <c r="E523"/>
  <c r="E241"/>
  <c r="E394"/>
  <c r="E31"/>
  <c r="E77"/>
  <c r="E135"/>
  <c r="AS6"/>
  <c r="AG6"/>
  <c r="E551"/>
  <c r="E208"/>
  <c r="E301"/>
  <c r="E417"/>
  <c r="E368"/>
  <c r="E421"/>
  <c r="E440"/>
  <c r="E338"/>
  <c r="E304"/>
  <c r="E168"/>
  <c r="E303"/>
  <c r="E486"/>
  <c r="E308"/>
  <c r="E540"/>
  <c r="AI6"/>
  <c r="E458"/>
  <c r="E256"/>
  <c r="K6"/>
  <c r="E50"/>
  <c r="E90"/>
  <c r="E42"/>
  <c r="E226"/>
  <c r="E351"/>
  <c r="E167"/>
  <c r="E504"/>
  <c r="E244"/>
  <c r="E316"/>
  <c r="E356"/>
  <c r="E297"/>
  <c r="E133"/>
  <c r="E15"/>
  <c r="E130"/>
  <c r="E215"/>
  <c r="E190"/>
  <c r="E466"/>
  <c r="E324"/>
  <c r="AL6"/>
  <c r="E395"/>
  <c r="E76"/>
  <c r="E106"/>
  <c r="E328"/>
  <c r="E391"/>
  <c r="E279"/>
  <c r="E246"/>
  <c r="E101"/>
  <c r="E374"/>
  <c r="E34"/>
  <c r="E203"/>
  <c r="V6"/>
  <c r="E513"/>
  <c r="E123"/>
  <c r="E40"/>
  <c r="E306"/>
  <c r="E489"/>
  <c r="AJ6"/>
  <c r="E19"/>
  <c r="E56"/>
  <c r="E267"/>
  <c r="E514"/>
  <c r="E340"/>
  <c r="E329"/>
  <c r="E322"/>
  <c r="E346"/>
  <c r="E564"/>
  <c r="E114"/>
  <c r="X6"/>
  <c r="E389"/>
  <c r="E373"/>
  <c r="E227"/>
  <c r="E481"/>
  <c r="E69"/>
  <c r="E349"/>
  <c r="E327"/>
  <c r="E147"/>
  <c r="E520"/>
  <c r="E236"/>
  <c r="E310"/>
  <c r="E519"/>
  <c r="E429"/>
  <c r="E137"/>
  <c r="AA6"/>
  <c r="E444"/>
  <c r="E39"/>
  <c r="E88"/>
  <c r="E400"/>
  <c r="E197"/>
  <c r="E229"/>
  <c r="E191"/>
  <c r="E530"/>
  <c r="E403"/>
  <c r="E277"/>
  <c r="E14"/>
  <c r="E378"/>
  <c r="E571"/>
  <c r="E572"/>
  <c r="E112"/>
  <c r="E382"/>
  <c r="E117"/>
  <c r="E262"/>
  <c r="E321"/>
  <c r="E221"/>
  <c r="E230"/>
  <c r="E510"/>
  <c r="E82"/>
  <c r="E408"/>
  <c r="E201"/>
  <c r="E33"/>
  <c r="E289"/>
  <c r="E245"/>
  <c r="U6"/>
  <c r="E126"/>
  <c r="E265"/>
  <c r="E158"/>
  <c r="E537"/>
  <c r="E213"/>
  <c r="E462"/>
  <c r="E184"/>
  <c r="N6"/>
  <c r="E204"/>
  <c r="E431"/>
  <c r="E92"/>
  <c r="E460"/>
  <c r="E75"/>
  <c r="E363"/>
  <c r="E272"/>
  <c r="E258"/>
  <c r="E276"/>
  <c r="E381"/>
  <c r="E94"/>
  <c r="E21"/>
  <c r="E343"/>
  <c r="E468"/>
  <c r="E148"/>
  <c r="E469"/>
  <c r="E443"/>
  <c r="E225"/>
  <c r="E174"/>
  <c r="P6"/>
  <c r="E238"/>
  <c r="Q6"/>
  <c r="E136"/>
  <c r="E139"/>
  <c r="E291"/>
  <c r="E248"/>
  <c r="E194"/>
  <c r="E296"/>
  <c r="E199"/>
  <c r="E490"/>
  <c r="E110"/>
  <c r="E129"/>
  <c r="E398"/>
  <c r="E49"/>
  <c r="E534"/>
  <c r="E125"/>
  <c r="E84"/>
  <c r="E70"/>
  <c r="E313"/>
  <c r="W6"/>
  <c r="E561"/>
  <c r="E187"/>
  <c r="E218"/>
  <c r="E98"/>
  <c r="E535"/>
  <c r="E471"/>
  <c r="AE6"/>
  <c r="E332"/>
  <c r="E414"/>
  <c r="I3" i="6"/>
  <c r="E178" i="3"/>
  <c r="E113"/>
  <c r="E166"/>
  <c r="E207"/>
  <c r="E259"/>
  <c r="E89"/>
  <c r="E556"/>
  <c r="E442"/>
  <c r="E44"/>
  <c r="E274"/>
  <c r="E119"/>
  <c r="E568"/>
  <c r="E52"/>
  <c r="E211"/>
  <c r="AM6"/>
  <c r="E472"/>
  <c r="E54"/>
  <c r="E536"/>
  <c r="E47"/>
  <c r="E482"/>
  <c r="E232"/>
  <c r="E427"/>
  <c r="E376"/>
  <c r="E64"/>
  <c r="E142"/>
  <c r="E109"/>
  <c r="E27"/>
  <c r="E293"/>
  <c r="E78"/>
  <c r="E423"/>
  <c r="E63"/>
  <c r="E202"/>
  <c r="E463"/>
  <c r="J6"/>
  <c r="E79"/>
  <c r="E102"/>
  <c r="E479"/>
  <c r="E140"/>
  <c r="E549"/>
  <c r="E60"/>
  <c r="E257"/>
  <c r="E492"/>
  <c r="E32"/>
  <c r="E500"/>
  <c r="E85"/>
  <c r="E445"/>
  <c r="E527"/>
  <c r="E249"/>
  <c r="E426"/>
  <c r="E438"/>
  <c r="E25"/>
  <c r="E278"/>
  <c r="E294"/>
  <c r="E410"/>
  <c r="E412"/>
  <c r="E447"/>
  <c r="E365"/>
  <c r="E390"/>
  <c r="E435"/>
  <c r="E422"/>
  <c r="E411"/>
  <c r="E149"/>
  <c r="E292"/>
  <c r="E48"/>
  <c r="E425"/>
  <c r="O6"/>
  <c r="E449"/>
  <c r="E283"/>
  <c r="E193"/>
  <c r="E387"/>
  <c r="AH6"/>
  <c r="AP6"/>
  <c r="E38"/>
  <c r="E53"/>
  <c r="E418"/>
  <c r="E455"/>
  <c r="E196"/>
  <c r="E156"/>
  <c r="E104"/>
  <c r="R6"/>
  <c r="E151"/>
  <c r="E250"/>
  <c r="E295"/>
  <c r="E547"/>
  <c r="E97"/>
  <c r="E539"/>
  <c r="E451"/>
  <c r="E73"/>
  <c r="E23"/>
  <c r="E337"/>
  <c r="E253"/>
  <c r="E452"/>
  <c r="E397"/>
  <c r="E545"/>
  <c r="E473"/>
  <c r="E185"/>
  <c r="E41"/>
  <c r="E401"/>
  <c r="E43"/>
  <c r="E405"/>
  <c r="B5" i="59"/>
  <c r="S6"/>
  <c r="E170" i="3"/>
  <c r="E61" i="40"/>
  <c r="T38" i="59"/>
  <c r="D38"/>
  <c r="E19" i="70"/>
  <c r="E19" i="69"/>
  <c r="E19" i="12"/>
  <c r="B31" i="1"/>
  <c r="E5" i="59"/>
  <c r="U6"/>
  <c r="E305" i="3"/>
  <c r="E399"/>
  <c r="E263"/>
  <c r="D3" i="68"/>
  <c r="D5" i="71"/>
  <c r="C5"/>
  <c r="T30" i="59"/>
  <c r="D30"/>
  <c r="AC32" i="33"/>
  <c r="W32"/>
  <c r="E223" i="3"/>
  <c r="E209"/>
  <c r="S7" i="35"/>
  <c r="E72" i="3"/>
  <c r="E205"/>
  <c r="E287"/>
  <c r="E470"/>
  <c r="T58" i="59"/>
  <c r="D58"/>
  <c r="U7" i="37"/>
  <c r="S7"/>
  <c r="M7" i="15"/>
  <c r="F49"/>
  <c r="F70"/>
  <c r="M7" i="77"/>
  <c r="F49"/>
  <c r="F70"/>
  <c r="C34" i="34"/>
  <c r="J33" i="33"/>
  <c r="F33"/>
  <c r="H33"/>
  <c r="M8" i="1"/>
  <c r="AB32" i="33"/>
  <c r="U32"/>
  <c r="H111"/>
  <c r="I111" s="1"/>
  <c r="J111" s="1"/>
  <c r="K111" s="1"/>
  <c r="L111" s="1"/>
  <c r="M111" s="1"/>
  <c r="H36"/>
  <c r="F36"/>
  <c r="W36"/>
  <c r="AC36"/>
  <c r="W25"/>
  <c r="AC25"/>
  <c r="O8" i="1"/>
  <c r="P8" s="1"/>
  <c r="C24" i="77"/>
  <c r="C52"/>
  <c r="C5" i="73"/>
  <c r="C9"/>
  <c r="C10" s="1"/>
  <c r="M7" i="1"/>
  <c r="Q16"/>
  <c r="F24" i="43" s="1"/>
  <c r="C26" s="1"/>
  <c r="D24" s="1"/>
  <c r="H16" i="1"/>
  <c r="K16"/>
  <c r="AP16"/>
  <c r="F22" i="11" s="1"/>
  <c r="G16" i="1"/>
  <c r="C34" i="69"/>
  <c r="D33" s="1"/>
  <c r="C34" i="70"/>
  <c r="D33" s="1"/>
  <c r="E41" i="72"/>
  <c r="C41" s="1"/>
  <c r="C39" s="1"/>
  <c r="C20"/>
  <c r="C36" s="1"/>
  <c r="E41" i="71"/>
  <c r="C41" s="1"/>
  <c r="C20"/>
  <c r="E27" i="6"/>
  <c r="F31"/>
  <c r="F26" i="69"/>
  <c r="C27" s="1"/>
  <c r="D26" s="1"/>
  <c r="C32" s="1"/>
  <c r="D30" s="1"/>
  <c r="F26" i="70"/>
  <c r="AC7" i="37"/>
  <c r="V42" s="1"/>
  <c r="I42" s="1"/>
  <c r="I46" s="1"/>
  <c r="J46" s="1"/>
  <c r="E72" i="39"/>
  <c r="F70"/>
  <c r="F65" i="40"/>
  <c r="E67"/>
  <c r="G42" i="35"/>
  <c r="H42" s="1"/>
  <c r="G43"/>
  <c r="H43" s="1"/>
  <c r="I40" i="36"/>
  <c r="J40" s="1"/>
  <c r="G46" i="37"/>
  <c r="H46" s="1"/>
  <c r="F59" i="34"/>
  <c r="I42" i="35"/>
  <c r="J42" s="1"/>
  <c r="R39"/>
  <c r="E38"/>
  <c r="I43" s="1"/>
  <c r="J43" s="1"/>
  <c r="R43" i="37"/>
  <c r="E42"/>
  <c r="G41" i="36"/>
  <c r="H41" s="1"/>
  <c r="G40"/>
  <c r="H40" s="1"/>
  <c r="F58" i="33"/>
  <c r="G58" s="1"/>
  <c r="H58" s="1"/>
  <c r="I58" s="1"/>
  <c r="J58" s="1"/>
  <c r="K58" s="1"/>
  <c r="L58" s="1"/>
  <c r="M58" s="1"/>
  <c r="N58" s="1"/>
  <c r="O58" s="1"/>
  <c r="F58" i="21"/>
  <c r="G58" s="1"/>
  <c r="H58" s="1"/>
  <c r="I58" s="1"/>
  <c r="J58" s="1"/>
  <c r="K58" s="1"/>
  <c r="L58" s="1"/>
  <c r="M58" s="1"/>
  <c r="N58" s="1"/>
  <c r="O58" s="1"/>
  <c r="H7"/>
  <c r="R37" i="36"/>
  <c r="E36"/>
  <c r="E41" i="46"/>
  <c r="C41" s="1"/>
  <c r="C38" s="1"/>
  <c r="C20"/>
  <c r="J28" i="44"/>
  <c r="J31" s="1"/>
  <c r="J26"/>
  <c r="C52" i="15"/>
  <c r="C20" i="11"/>
  <c r="C21" s="1"/>
  <c r="F21" i="43"/>
  <c r="C23" s="1"/>
  <c r="D21" s="1"/>
  <c r="F24" i="15"/>
  <c r="C24" s="1"/>
  <c r="F26" i="12"/>
  <c r="F26" i="44"/>
  <c r="C26" s="1"/>
  <c r="C15" i="12"/>
  <c r="F41" i="15"/>
  <c r="C15" i="69"/>
  <c r="C16" i="77"/>
  <c r="C15" i="70"/>
  <c r="C16" i="15"/>
  <c r="C38" i="71" l="1"/>
  <c r="E38" s="1"/>
  <c r="E3" i="6"/>
  <c r="AY6" i="3"/>
  <c r="F9" i="59"/>
  <c r="F8" s="1"/>
  <c r="F7" s="1"/>
  <c r="F6" s="1"/>
  <c r="V10"/>
  <c r="H6" i="3"/>
  <c r="E6" s="1"/>
  <c r="Q53" i="77"/>
  <c r="F1"/>
  <c r="AC6" i="3"/>
  <c r="C10" i="59"/>
  <c r="D11"/>
  <c r="T16" i="71"/>
  <c r="V16" s="1"/>
  <c r="Q74" i="77"/>
  <c r="Q61"/>
  <c r="Q75"/>
  <c r="Q62"/>
  <c r="AB33" i="33"/>
  <c r="U33"/>
  <c r="AC33"/>
  <c r="W33"/>
  <c r="J6" i="77"/>
  <c r="M17"/>
  <c r="C48" i="15"/>
  <c r="C47" s="1"/>
  <c r="C59" s="1"/>
  <c r="F58"/>
  <c r="AA33" i="33"/>
  <c r="S33"/>
  <c r="J34" i="34"/>
  <c r="F34"/>
  <c r="H34"/>
  <c r="C48" i="77"/>
  <c r="C47" s="1"/>
  <c r="F58"/>
  <c r="M17" i="15"/>
  <c r="J6"/>
  <c r="AB36" i="33"/>
  <c r="U36"/>
  <c r="S36"/>
  <c r="AA36"/>
  <c r="C38" i="72"/>
  <c r="E38" s="1"/>
  <c r="F68" i="15"/>
  <c r="C22" i="11"/>
  <c r="C23" s="1"/>
  <c r="B2" s="1"/>
  <c r="O7" i="1"/>
  <c r="M16"/>
  <c r="H12" i="39"/>
  <c r="J12" i="40"/>
  <c r="H12"/>
  <c r="F12" i="39"/>
  <c r="F12" i="40"/>
  <c r="J12" i="39"/>
  <c r="J7" i="21"/>
  <c r="W7" s="1"/>
  <c r="J7" i="33"/>
  <c r="AC7" s="1"/>
  <c r="V48" s="1"/>
  <c r="I48" s="1"/>
  <c r="G47" i="37"/>
  <c r="H47" s="1"/>
  <c r="T13" i="72"/>
  <c r="V13" s="1"/>
  <c r="T13" i="71"/>
  <c r="V13" s="1"/>
  <c r="G3" i="68"/>
  <c r="C34" i="72"/>
  <c r="E34" s="1"/>
  <c r="G4" i="68"/>
  <c r="T12" i="72"/>
  <c r="V12" s="1"/>
  <c r="C33"/>
  <c r="E33" s="1"/>
  <c r="T10"/>
  <c r="V10" s="1"/>
  <c r="C35" i="46"/>
  <c r="G35" s="1"/>
  <c r="I35" s="1"/>
  <c r="C33" i="71"/>
  <c r="G33" s="1"/>
  <c r="I33" s="1"/>
  <c r="T12"/>
  <c r="V12" s="1"/>
  <c r="T9"/>
  <c r="V9" s="1"/>
  <c r="T8" i="72"/>
  <c r="V8" s="1"/>
  <c r="C37"/>
  <c r="E37" s="1"/>
  <c r="T14"/>
  <c r="V14" s="1"/>
  <c r="C37" i="46"/>
  <c r="G37" s="1"/>
  <c r="I37" s="1"/>
  <c r="T16"/>
  <c r="V16" s="1"/>
  <c r="C34" i="71"/>
  <c r="G34" s="1"/>
  <c r="I34" s="1"/>
  <c r="C37"/>
  <c r="E37" s="1"/>
  <c r="T15"/>
  <c r="V15" s="1"/>
  <c r="T11" i="72"/>
  <c r="V11" s="1"/>
  <c r="T15"/>
  <c r="V15" s="1"/>
  <c r="C35"/>
  <c r="E35" s="1"/>
  <c r="T9"/>
  <c r="V9" s="1"/>
  <c r="T16"/>
  <c r="V16" s="1"/>
  <c r="C39" i="46"/>
  <c r="E39" s="1"/>
  <c r="C36" i="71"/>
  <c r="E36" s="1"/>
  <c r="C35"/>
  <c r="E35" s="1"/>
  <c r="T11"/>
  <c r="V11" s="1"/>
  <c r="T8"/>
  <c r="V8" s="1"/>
  <c r="T14"/>
  <c r="V14" s="1"/>
  <c r="T10"/>
  <c r="V10" s="1"/>
  <c r="C36" i="46"/>
  <c r="G36" s="1"/>
  <c r="I36" s="1"/>
  <c r="T12"/>
  <c r="V12" s="1"/>
  <c r="T15"/>
  <c r="V15" s="1"/>
  <c r="T11"/>
  <c r="V11" s="1"/>
  <c r="T13"/>
  <c r="V13" s="1"/>
  <c r="T9"/>
  <c r="V9" s="1"/>
  <c r="T8"/>
  <c r="V8" s="1"/>
  <c r="C39" i="71"/>
  <c r="G39" s="1"/>
  <c r="I39" s="1"/>
  <c r="E39" i="72"/>
  <c r="G39"/>
  <c r="I39" s="1"/>
  <c r="G36"/>
  <c r="I36" s="1"/>
  <c r="E36"/>
  <c r="C34" i="46"/>
  <c r="E34" s="1"/>
  <c r="K24" i="6"/>
  <c r="M24" s="1"/>
  <c r="I24" s="1"/>
  <c r="S24" s="1"/>
  <c r="K21"/>
  <c r="K26"/>
  <c r="M26" s="1"/>
  <c r="I26" s="1"/>
  <c r="S26" s="1"/>
  <c r="K25"/>
  <c r="M25" s="1"/>
  <c r="I25" s="1"/>
  <c r="S25" s="1"/>
  <c r="K20"/>
  <c r="E31"/>
  <c r="K23"/>
  <c r="M23" s="1"/>
  <c r="I23" s="1"/>
  <c r="S23" s="1"/>
  <c r="K22"/>
  <c r="M22" s="1"/>
  <c r="I22" s="1"/>
  <c r="S22" s="1"/>
  <c r="K19"/>
  <c r="C27" i="70"/>
  <c r="D26" s="1"/>
  <c r="C32" s="1"/>
  <c r="D30" s="1"/>
  <c r="F67" i="40"/>
  <c r="G65"/>
  <c r="G70" i="39"/>
  <c r="F72"/>
  <c r="T10" i="46"/>
  <c r="V10" s="1"/>
  <c r="C33"/>
  <c r="E33" s="1"/>
  <c r="T14"/>
  <c r="V14" s="1"/>
  <c r="G38"/>
  <c r="I38" s="1"/>
  <c r="E38"/>
  <c r="E40" i="36"/>
  <c r="F40" s="1"/>
  <c r="E41"/>
  <c r="F41" s="1"/>
  <c r="AB7" i="21"/>
  <c r="T48" s="1"/>
  <c r="G48" s="1"/>
  <c r="U7"/>
  <c r="H7" i="33"/>
  <c r="E47" i="37"/>
  <c r="F47" s="1"/>
  <c r="E46"/>
  <c r="F46" s="1"/>
  <c r="E43" i="35"/>
  <c r="F43" s="1"/>
  <c r="E42"/>
  <c r="F42" s="1"/>
  <c r="I47" i="37"/>
  <c r="J47" s="1"/>
  <c r="I41" i="36"/>
  <c r="J41" s="1"/>
  <c r="F7" i="21"/>
  <c r="C36" i="36"/>
  <c r="C37"/>
  <c r="B3" s="1"/>
  <c r="B2" s="1"/>
  <c r="AC7" i="21"/>
  <c r="V48" s="1"/>
  <c r="I48" s="1"/>
  <c r="C43" i="37"/>
  <c r="B3" s="1"/>
  <c r="B2" s="1"/>
  <c r="C42"/>
  <c r="C39" i="35"/>
  <c r="B3" s="1"/>
  <c r="B2" s="1"/>
  <c r="C38"/>
  <c r="G59" i="34"/>
  <c r="H59" s="1"/>
  <c r="I59" s="1"/>
  <c r="J59" s="1"/>
  <c r="K59" s="1"/>
  <c r="L59" s="1"/>
  <c r="M59" s="1"/>
  <c r="N59" s="1"/>
  <c r="O59" s="1"/>
  <c r="F7" i="33"/>
  <c r="C27" i="12"/>
  <c r="D26" s="1"/>
  <c r="C32" s="1"/>
  <c r="D30" s="1"/>
  <c r="Q58" i="44"/>
  <c r="Q67"/>
  <c r="Q49"/>
  <c r="Q55" s="1"/>
  <c r="F7" i="67"/>
  <c r="AE8" i="1"/>
  <c r="W7" i="33" l="1"/>
  <c r="G38" i="71"/>
  <c r="I38" s="1"/>
  <c r="C65" i="15"/>
  <c r="G33" i="72"/>
  <c r="I33" s="1"/>
  <c r="C9" i="59"/>
  <c r="T10"/>
  <c r="D10"/>
  <c r="F5"/>
  <c r="V6"/>
  <c r="AY13" i="3"/>
  <c r="AY109"/>
  <c r="AY144"/>
  <c r="AY448"/>
  <c r="AY326"/>
  <c r="AY550"/>
  <c r="AY100"/>
  <c r="AY250"/>
  <c r="AY346"/>
  <c r="AY305"/>
  <c r="AY501"/>
  <c r="AY216"/>
  <c r="AY257"/>
  <c r="AY437"/>
  <c r="AY64"/>
  <c r="AY219"/>
  <c r="AY446"/>
  <c r="AY32"/>
  <c r="AY489"/>
  <c r="AY385"/>
  <c r="AY175"/>
  <c r="AY155"/>
  <c r="AY449"/>
  <c r="AY424"/>
  <c r="AY248"/>
  <c r="BQ6"/>
  <c r="AY480"/>
  <c r="AY497"/>
  <c r="AY534"/>
  <c r="AY93"/>
  <c r="AY571"/>
  <c r="AY212"/>
  <c r="AY284"/>
  <c r="AY301"/>
  <c r="AY491"/>
  <c r="AY286"/>
  <c r="AY16"/>
  <c r="AY386"/>
  <c r="AY430"/>
  <c r="AY365"/>
  <c r="AY388"/>
  <c r="AY447"/>
  <c r="AY440"/>
  <c r="AY363"/>
  <c r="AY502"/>
  <c r="AY23"/>
  <c r="AY180"/>
  <c r="AY524"/>
  <c r="AY332"/>
  <c r="AY375"/>
  <c r="AY189"/>
  <c r="AY110"/>
  <c r="AY477"/>
  <c r="AY231"/>
  <c r="AY462"/>
  <c r="AY300"/>
  <c r="AY196"/>
  <c r="AY523"/>
  <c r="AY97"/>
  <c r="AY272"/>
  <c r="AY282"/>
  <c r="AY376"/>
  <c r="BR6"/>
  <c r="AY373"/>
  <c r="AY299"/>
  <c r="AY177"/>
  <c r="AY26"/>
  <c r="AY98"/>
  <c r="AY427"/>
  <c r="AY476"/>
  <c r="AY548"/>
  <c r="AY47"/>
  <c r="AY343"/>
  <c r="AY435"/>
  <c r="AY420"/>
  <c r="AY528"/>
  <c r="AY333"/>
  <c r="AY337"/>
  <c r="AY465"/>
  <c r="AY42"/>
  <c r="AY356"/>
  <c r="AY162"/>
  <c r="AY498"/>
  <c r="AY519"/>
  <c r="AY390"/>
  <c r="AY264"/>
  <c r="AY302"/>
  <c r="AY191"/>
  <c r="AY266"/>
  <c r="AY472"/>
  <c r="AY151"/>
  <c r="AY174"/>
  <c r="AY68"/>
  <c r="AY113"/>
  <c r="AY313"/>
  <c r="BM6"/>
  <c r="AY488"/>
  <c r="AY444"/>
  <c r="AY570"/>
  <c r="AY508"/>
  <c r="AY398"/>
  <c r="AY438"/>
  <c r="AY411"/>
  <c r="AY314"/>
  <c r="AY471"/>
  <c r="AY456"/>
  <c r="AY60"/>
  <c r="AY237"/>
  <c r="AY214"/>
  <c r="AY428"/>
  <c r="AY543"/>
  <c r="AY460"/>
  <c r="AY210"/>
  <c r="AY55"/>
  <c r="AY283"/>
  <c r="AY553"/>
  <c r="AY369"/>
  <c r="AY198"/>
  <c r="AY57"/>
  <c r="AY397"/>
  <c r="AY463"/>
  <c r="AY62"/>
  <c r="AY126"/>
  <c r="AY560"/>
  <c r="AY400"/>
  <c r="AY405"/>
  <c r="AY99"/>
  <c r="AY432"/>
  <c r="BS6"/>
  <c r="AY544"/>
  <c r="AY515"/>
  <c r="AY569"/>
  <c r="AY380"/>
  <c r="AY239"/>
  <c r="AY546"/>
  <c r="AY492"/>
  <c r="AY467"/>
  <c r="AY450"/>
  <c r="AY274"/>
  <c r="AY156"/>
  <c r="AY96"/>
  <c r="AY360"/>
  <c r="AY90"/>
  <c r="AY285"/>
  <c r="AY557"/>
  <c r="AY130"/>
  <c r="AY509"/>
  <c r="BB6"/>
  <c r="AY79"/>
  <c r="AY466"/>
  <c r="D3" i="6"/>
  <c r="AY169" i="3"/>
  <c r="AY278"/>
  <c r="AY187"/>
  <c r="AY320"/>
  <c r="AY138"/>
  <c r="AY518"/>
  <c r="AY185"/>
  <c r="AY235"/>
  <c r="AY545"/>
  <c r="AY298"/>
  <c r="AY173"/>
  <c r="AY292"/>
  <c r="AY51"/>
  <c r="AY53"/>
  <c r="AY123"/>
  <c r="BF6"/>
  <c r="AY56"/>
  <c r="BT6"/>
  <c r="AY372"/>
  <c r="AY163"/>
  <c r="AY289"/>
  <c r="AY323"/>
  <c r="AY129"/>
  <c r="AY106"/>
  <c r="AY422"/>
  <c r="AY39"/>
  <c r="AY168"/>
  <c r="AY31"/>
  <c r="AY65"/>
  <c r="AY30"/>
  <c r="AY555"/>
  <c r="AY236"/>
  <c r="AY408"/>
  <c r="AY25"/>
  <c r="BH6"/>
  <c r="AY34"/>
  <c r="AY44"/>
  <c r="AY22"/>
  <c r="AY407"/>
  <c r="AY66"/>
  <c r="AY540"/>
  <c r="AY479"/>
  <c r="AY122"/>
  <c r="AY275"/>
  <c r="AY14"/>
  <c r="AY233"/>
  <c r="AY531"/>
  <c r="AY351"/>
  <c r="AY357"/>
  <c r="AY192"/>
  <c r="AY125"/>
  <c r="AY260"/>
  <c r="AY568"/>
  <c r="AY134"/>
  <c r="AY255"/>
  <c r="AY37"/>
  <c r="AY348"/>
  <c r="AY336"/>
  <c r="AY271"/>
  <c r="AY268"/>
  <c r="AY316"/>
  <c r="AY112"/>
  <c r="AY559"/>
  <c r="AY475"/>
  <c r="AY393"/>
  <c r="AY403"/>
  <c r="AY59"/>
  <c r="AY452"/>
  <c r="AY19"/>
  <c r="AY94"/>
  <c r="BO6"/>
  <c r="AY468"/>
  <c r="AY536"/>
  <c r="AY164"/>
  <c r="AY366"/>
  <c r="BL6"/>
  <c r="AY85"/>
  <c r="AY349"/>
  <c r="AY150"/>
  <c r="AY504"/>
  <c r="AY160"/>
  <c r="AY338"/>
  <c r="AY194"/>
  <c r="AY215"/>
  <c r="AY89"/>
  <c r="AY142"/>
  <c r="AY136"/>
  <c r="AY49"/>
  <c r="AY178"/>
  <c r="AY269"/>
  <c r="AY118"/>
  <c r="AY141"/>
  <c r="AY161"/>
  <c r="AY429"/>
  <c r="AY481"/>
  <c r="AY28"/>
  <c r="AY254"/>
  <c r="AY493"/>
  <c r="AY158"/>
  <c r="AY148"/>
  <c r="AY211"/>
  <c r="AY500"/>
  <c r="AY242"/>
  <c r="AY15"/>
  <c r="AY139"/>
  <c r="AY307"/>
  <c r="AY556"/>
  <c r="AY378"/>
  <c r="AY329"/>
  <c r="AY137"/>
  <c r="AY358"/>
  <c r="AY404"/>
  <c r="AY478"/>
  <c r="AY334"/>
  <c r="AY554"/>
  <c r="AY251"/>
  <c r="AY419"/>
  <c r="AY496"/>
  <c r="AY203"/>
  <c r="AY72"/>
  <c r="AY253"/>
  <c r="AY445"/>
  <c r="AY207"/>
  <c r="AY29"/>
  <c r="AY415"/>
  <c r="AY63"/>
  <c r="AY195"/>
  <c r="AY339"/>
  <c r="AY514"/>
  <c r="AY522"/>
  <c r="AY297"/>
  <c r="AY513"/>
  <c r="AY511"/>
  <c r="AY40"/>
  <c r="AY306"/>
  <c r="AY347"/>
  <c r="AY507"/>
  <c r="AY535"/>
  <c r="AY69"/>
  <c r="AY383"/>
  <c r="AY159"/>
  <c r="AY50"/>
  <c r="AY36"/>
  <c r="AY76"/>
  <c r="AY147"/>
  <c r="AY527"/>
  <c r="AY128"/>
  <c r="AY227"/>
  <c r="AY17"/>
  <c r="AY18"/>
  <c r="BE6"/>
  <c r="AY342"/>
  <c r="AY21"/>
  <c r="AY108"/>
  <c r="AY48"/>
  <c r="AY469"/>
  <c r="AY379"/>
  <c r="AY494"/>
  <c r="AY225"/>
  <c r="AY441"/>
  <c r="AY455"/>
  <c r="AY529"/>
  <c r="AY217"/>
  <c r="AY170"/>
  <c r="AY116"/>
  <c r="AY486"/>
  <c r="AY234"/>
  <c r="AY265"/>
  <c r="AY230"/>
  <c r="AY188"/>
  <c r="AY516"/>
  <c r="AY117"/>
  <c r="AY341"/>
  <c r="AY86"/>
  <c r="AY218"/>
  <c r="AY288"/>
  <c r="AY562"/>
  <c r="AY552"/>
  <c r="AY325"/>
  <c r="AY484"/>
  <c r="AY364"/>
  <c r="AY457"/>
  <c r="AY414"/>
  <c r="AY193"/>
  <c r="AY131"/>
  <c r="AY485"/>
  <c r="AY328"/>
  <c r="AY133"/>
  <c r="AY387"/>
  <c r="AY421"/>
  <c r="AY423"/>
  <c r="AY451"/>
  <c r="AY261"/>
  <c r="AY521"/>
  <c r="AY95"/>
  <c r="AY256"/>
  <c r="AY352"/>
  <c r="AY200"/>
  <c r="AY510"/>
  <c r="AY367"/>
  <c r="AY247"/>
  <c r="AY483"/>
  <c r="AY454"/>
  <c r="AY157"/>
  <c r="AY453"/>
  <c r="AY368"/>
  <c r="AY226"/>
  <c r="AY152"/>
  <c r="AY487"/>
  <c r="AY267"/>
  <c r="AY530"/>
  <c r="AY77"/>
  <c r="AY262"/>
  <c r="AY149"/>
  <c r="AY135"/>
  <c r="AY80"/>
  <c r="AY209"/>
  <c r="AY310"/>
  <c r="AY340"/>
  <c r="AY442"/>
  <c r="AY103"/>
  <c r="AY280"/>
  <c r="AY394"/>
  <c r="AY24"/>
  <c r="AY290"/>
  <c r="AY371"/>
  <c r="AY396"/>
  <c r="AY107"/>
  <c r="AY417"/>
  <c r="AY355"/>
  <c r="AY70"/>
  <c r="AY412"/>
  <c r="AY114"/>
  <c r="AY27"/>
  <c r="AY206"/>
  <c r="AY565"/>
  <c r="AY344"/>
  <c r="AY327"/>
  <c r="AY418"/>
  <c r="AY331"/>
  <c r="AY539"/>
  <c r="AY296"/>
  <c r="AY243"/>
  <c r="AY474"/>
  <c r="AY83"/>
  <c r="AY464"/>
  <c r="AY35"/>
  <c r="AY335"/>
  <c r="AY154"/>
  <c r="AY166"/>
  <c r="AY503"/>
  <c r="AY223"/>
  <c r="AY401"/>
  <c r="AY433"/>
  <c r="AY499"/>
  <c r="AY33"/>
  <c r="AY377"/>
  <c r="AY345"/>
  <c r="BJ6"/>
  <c r="AY506"/>
  <c r="AY490"/>
  <c r="AY391"/>
  <c r="AY473"/>
  <c r="BI6"/>
  <c r="AY470"/>
  <c r="AY517"/>
  <c r="AY551"/>
  <c r="AY132"/>
  <c r="AY303"/>
  <c r="AY399"/>
  <c r="AY384"/>
  <c r="AY322"/>
  <c r="AY533"/>
  <c r="AY558"/>
  <c r="AY190"/>
  <c r="AY549"/>
  <c r="AY104"/>
  <c r="AY291"/>
  <c r="AY146"/>
  <c r="AY258"/>
  <c r="AY67"/>
  <c r="AY317"/>
  <c r="AY350"/>
  <c r="AY542"/>
  <c r="AY143"/>
  <c r="AY52"/>
  <c r="AY374"/>
  <c r="AY197"/>
  <c r="AY431"/>
  <c r="AY309"/>
  <c r="AY318"/>
  <c r="AY406"/>
  <c r="AY140"/>
  <c r="AY186"/>
  <c r="AY82"/>
  <c r="AY238"/>
  <c r="BC6"/>
  <c r="AY304"/>
  <c r="BN6"/>
  <c r="AY520"/>
  <c r="AY244"/>
  <c r="AY505"/>
  <c r="AY84"/>
  <c r="AY410"/>
  <c r="AY362"/>
  <c r="AY228"/>
  <c r="AY54"/>
  <c r="BG6"/>
  <c r="AY354"/>
  <c r="AY45"/>
  <c r="AY81"/>
  <c r="AY124"/>
  <c r="AY111"/>
  <c r="AY75"/>
  <c r="AY413"/>
  <c r="AY20"/>
  <c r="AY281"/>
  <c r="AY402"/>
  <c r="AY392"/>
  <c r="AY115"/>
  <c r="AY205"/>
  <c r="AY78"/>
  <c r="AY179"/>
  <c r="AY245"/>
  <c r="AY538"/>
  <c r="AY409"/>
  <c r="AY87"/>
  <c r="AY537"/>
  <c r="AY232"/>
  <c r="AY381"/>
  <c r="AY294"/>
  <c r="AY58"/>
  <c r="AY416"/>
  <c r="AY459"/>
  <c r="AY101"/>
  <c r="AY43"/>
  <c r="AY204"/>
  <c r="AY311"/>
  <c r="AY359"/>
  <c r="AY273"/>
  <c r="AY443"/>
  <c r="BA6"/>
  <c r="AY221"/>
  <c r="AY458"/>
  <c r="AY287"/>
  <c r="AY41"/>
  <c r="BK6"/>
  <c r="AY201"/>
  <c r="AY38"/>
  <c r="BD6"/>
  <c r="AY249"/>
  <c r="BP6"/>
  <c r="AY220"/>
  <c r="AY567"/>
  <c r="AY434"/>
  <c r="AY270"/>
  <c r="AY532"/>
  <c r="AY353"/>
  <c r="AY426"/>
  <c r="AY482"/>
  <c r="AY277"/>
  <c r="AY295"/>
  <c r="AY525"/>
  <c r="AY224"/>
  <c r="AY259"/>
  <c r="AY319"/>
  <c r="AY208"/>
  <c r="AY71"/>
  <c r="AY495"/>
  <c r="AY547"/>
  <c r="AY119"/>
  <c r="AY172"/>
  <c r="AY425"/>
  <c r="AY88"/>
  <c r="AY74"/>
  <c r="AY361"/>
  <c r="AY324"/>
  <c r="AY315"/>
  <c r="AY105"/>
  <c r="AY181"/>
  <c r="AY241"/>
  <c r="AY382"/>
  <c r="AY308"/>
  <c r="AY246"/>
  <c r="AY183"/>
  <c r="AY321"/>
  <c r="AY526"/>
  <c r="AY176"/>
  <c r="AY561"/>
  <c r="AY127"/>
  <c r="AY461"/>
  <c r="AY222"/>
  <c r="AY182"/>
  <c r="AY389"/>
  <c r="AY91"/>
  <c r="AY120"/>
  <c r="AY145"/>
  <c r="AY184"/>
  <c r="AY199"/>
  <c r="AY563"/>
  <c r="AY436"/>
  <c r="AY512"/>
  <c r="AY252"/>
  <c r="AY566"/>
  <c r="AY312"/>
  <c r="AY165"/>
  <c r="AY121"/>
  <c r="AY202"/>
  <c r="AY279"/>
  <c r="AY293"/>
  <c r="AY229"/>
  <c r="AY171"/>
  <c r="AY370"/>
  <c r="AY153"/>
  <c r="AY240"/>
  <c r="AY395"/>
  <c r="AY213"/>
  <c r="AY61"/>
  <c r="AY439"/>
  <c r="AY263"/>
  <c r="AY102"/>
  <c r="AY276"/>
  <c r="AY541"/>
  <c r="AY73"/>
  <c r="AY572"/>
  <c r="AY46"/>
  <c r="AY330"/>
  <c r="AY564"/>
  <c r="AY92"/>
  <c r="AY167"/>
  <c r="D46" i="9"/>
  <c r="D16" i="43"/>
  <c r="C16" s="1"/>
  <c r="E6" i="6"/>
  <c r="D13" i="11" s="1"/>
  <c r="C13" s="1"/>
  <c r="L38" i="9"/>
  <c r="B14" i="66" s="1"/>
  <c r="B1" s="1"/>
  <c r="D45" i="9"/>
  <c r="C21" i="4"/>
  <c r="O5" i="54" s="1"/>
  <c r="B45" i="63" s="1"/>
  <c r="D44" i="9"/>
  <c r="G38" i="72"/>
  <c r="I38" s="1"/>
  <c r="C59" i="77"/>
  <c r="C65"/>
  <c r="AA34" i="34"/>
  <c r="S34"/>
  <c r="J18" i="77"/>
  <c r="J5"/>
  <c r="J5" i="15"/>
  <c r="J18"/>
  <c r="AB34" i="34"/>
  <c r="U34"/>
  <c r="W34"/>
  <c r="AC34"/>
  <c r="B3" i="11"/>
  <c r="G34" i="72"/>
  <c r="I34" s="1"/>
  <c r="E34" i="71"/>
  <c r="B4" i="11"/>
  <c r="AC12" i="39"/>
  <c r="W12"/>
  <c r="S12"/>
  <c r="AA12"/>
  <c r="AC12" i="40"/>
  <c r="W12"/>
  <c r="L16" i="1"/>
  <c r="C13" i="43"/>
  <c r="N16" i="1"/>
  <c r="C29" i="43" s="1"/>
  <c r="S12" i="40"/>
  <c r="AA12"/>
  <c r="U12"/>
  <c r="AB12"/>
  <c r="U12" i="39"/>
  <c r="AB12"/>
  <c r="P7" i="1"/>
  <c r="O16"/>
  <c r="G39" i="46"/>
  <c r="I39" s="1"/>
  <c r="F7" i="34"/>
  <c r="S7" s="1"/>
  <c r="E37" i="46"/>
  <c r="E36"/>
  <c r="G37" i="72"/>
  <c r="I37" s="1"/>
  <c r="G35"/>
  <c r="I35" s="1"/>
  <c r="E33" i="71"/>
  <c r="G34" i="46"/>
  <c r="I34" s="1"/>
  <c r="E35"/>
  <c r="G35" i="71"/>
  <c r="I35" s="1"/>
  <c r="G36"/>
  <c r="I36" s="1"/>
  <c r="G37"/>
  <c r="I37" s="1"/>
  <c r="E39"/>
  <c r="G33" i="46"/>
  <c r="I33" s="1"/>
  <c r="M21" i="6"/>
  <c r="I21" s="1"/>
  <c r="S8" i="1"/>
  <c r="M20" i="6"/>
  <c r="I20" s="1"/>
  <c r="S7" i="1"/>
  <c r="H23" i="6"/>
  <c r="S6" i="1"/>
  <c r="M19" i="6"/>
  <c r="K27"/>
  <c r="H65" i="40"/>
  <c r="G67"/>
  <c r="H70" i="39"/>
  <c r="G72"/>
  <c r="H7" i="34"/>
  <c r="U7" s="1"/>
  <c r="S7" i="21"/>
  <c r="AA7"/>
  <c r="R48" s="1"/>
  <c r="AA7" i="33"/>
  <c r="R48" s="1"/>
  <c r="S7"/>
  <c r="I52"/>
  <c r="J52" s="1"/>
  <c r="I52" i="21"/>
  <c r="J52" s="1"/>
  <c r="AB7" i="33"/>
  <c r="T48" s="1"/>
  <c r="G48" s="1"/>
  <c r="U7"/>
  <c r="G52" i="21"/>
  <c r="H52" s="1"/>
  <c r="G53"/>
  <c r="H53" s="1"/>
  <c r="J7" i="34"/>
  <c r="E4" i="67"/>
  <c r="D77" i="9"/>
  <c r="N75" s="1"/>
  <c r="C17" i="15"/>
  <c r="D22" i="12"/>
  <c r="B7" i="67"/>
  <c r="D16" i="70"/>
  <c r="C19" i="44"/>
  <c r="D16" i="12"/>
  <c r="F41" i="77"/>
  <c r="C17"/>
  <c r="D22" i="70"/>
  <c r="D22" i="69"/>
  <c r="E7" i="67"/>
  <c r="D16" i="69"/>
  <c r="F68" i="77" l="1"/>
  <c r="C7" i="66"/>
  <c r="C6"/>
  <c r="C8"/>
  <c r="D9" i="59"/>
  <c r="C8"/>
  <c r="D14" i="6"/>
  <c r="E63" i="40"/>
  <c r="F44" i="9"/>
  <c r="D28" i="6"/>
  <c r="D9"/>
  <c r="D26"/>
  <c r="E45" i="9"/>
  <c r="D15" i="6"/>
  <c r="E46" i="9"/>
  <c r="D20" i="6"/>
  <c r="D25"/>
  <c r="D24"/>
  <c r="H24"/>
  <c r="D8"/>
  <c r="F45" i="9"/>
  <c r="D11" i="6"/>
  <c r="E68" i="39"/>
  <c r="D23" i="6"/>
  <c r="R23" s="1"/>
  <c r="D12"/>
  <c r="H26"/>
  <c r="D6"/>
  <c r="I7"/>
  <c r="D22"/>
  <c r="K38" i="9"/>
  <c r="C14" i="66" s="1"/>
  <c r="B2" s="1"/>
  <c r="D29" i="6"/>
  <c r="F1" i="72"/>
  <c r="F46" i="9"/>
  <c r="H25" i="6"/>
  <c r="E44" i="9"/>
  <c r="D10" i="6"/>
  <c r="C22" i="4"/>
  <c r="D5" i="6"/>
  <c r="D19"/>
  <c r="D21"/>
  <c r="H22"/>
  <c r="D13"/>
  <c r="B5" i="11"/>
  <c r="J24" i="77"/>
  <c r="J26"/>
  <c r="J29" s="1"/>
  <c r="J24" i="15"/>
  <c r="J26"/>
  <c r="J29" s="1"/>
  <c r="AA7" i="34"/>
  <c r="R49" s="1"/>
  <c r="E49" s="1"/>
  <c r="D19" i="12"/>
  <c r="C19" s="1"/>
  <c r="C16"/>
  <c r="C22"/>
  <c r="C20" s="1"/>
  <c r="C16" i="70"/>
  <c r="D19"/>
  <c r="C19" s="1"/>
  <c r="C22"/>
  <c r="C20" s="1"/>
  <c r="C16" i="69"/>
  <c r="D19"/>
  <c r="C19" s="1"/>
  <c r="C22"/>
  <c r="C20" s="1"/>
  <c r="P16" i="1"/>
  <c r="C14" i="43"/>
  <c r="C17"/>
  <c r="AB7" i="34"/>
  <c r="T49" s="1"/>
  <c r="G49" s="1"/>
  <c r="G53" s="1"/>
  <c r="H53" s="1"/>
  <c r="S20" i="6"/>
  <c r="H20"/>
  <c r="R20" s="1"/>
  <c r="R7" i="1" s="1"/>
  <c r="S21" i="6"/>
  <c r="H21"/>
  <c r="R21" s="1"/>
  <c r="R8" i="1" s="1"/>
  <c r="S16"/>
  <c r="T6" s="1"/>
  <c r="I19" i="6"/>
  <c r="M27"/>
  <c r="I70" i="39"/>
  <c r="H72"/>
  <c r="H67" i="40"/>
  <c r="I65"/>
  <c r="G52" i="33"/>
  <c r="H52" s="1"/>
  <c r="G53"/>
  <c r="H53" s="1"/>
  <c r="R49"/>
  <c r="E48"/>
  <c r="R49" i="21"/>
  <c r="E48"/>
  <c r="W7" i="34"/>
  <c r="AC7"/>
  <c r="V49" s="1"/>
  <c r="I49" s="1"/>
  <c r="E3" i="67"/>
  <c r="B2"/>
  <c r="C13" i="12"/>
  <c r="M21" i="77"/>
  <c r="M21" i="15"/>
  <c r="M23" i="44"/>
  <c r="F37"/>
  <c r="R24" i="6" l="1"/>
  <c r="R26"/>
  <c r="D30"/>
  <c r="D16"/>
  <c r="D7" i="66"/>
  <c r="D6"/>
  <c r="D8"/>
  <c r="D8" i="59"/>
  <c r="C7"/>
  <c r="R22" i="6"/>
  <c r="R25"/>
  <c r="G3" i="71"/>
  <c r="G3" i="46"/>
  <c r="G3" i="72"/>
  <c r="A6" i="64"/>
  <c r="A20" i="51"/>
  <c r="B15" i="63" s="1"/>
  <c r="N5" i="54"/>
  <c r="B43" i="63" s="1"/>
  <c r="A20" i="64"/>
  <c r="A6" i="51"/>
  <c r="B7" i="63" s="1"/>
  <c r="D27" i="6"/>
  <c r="D31" s="1"/>
  <c r="J20" i="77"/>
  <c r="C34"/>
  <c r="F62"/>
  <c r="C61" s="1"/>
  <c r="R50" i="34"/>
  <c r="C49" s="1"/>
  <c r="U8" i="1" s="1"/>
  <c r="C18" i="43"/>
  <c r="C19" s="1"/>
  <c r="C14" i="12"/>
  <c r="C17"/>
  <c r="I27" i="6"/>
  <c r="H19"/>
  <c r="S19"/>
  <c r="S27" s="1"/>
  <c r="T8" i="1"/>
  <c r="T11"/>
  <c r="T7"/>
  <c r="T12"/>
  <c r="T9"/>
  <c r="T13"/>
  <c r="T10"/>
  <c r="J65" i="40"/>
  <c r="I67"/>
  <c r="J70" i="39"/>
  <c r="I72"/>
  <c r="J22" i="44"/>
  <c r="J20" i="15"/>
  <c r="C36" i="44"/>
  <c r="C34" i="15"/>
  <c r="F62"/>
  <c r="C61" s="1"/>
  <c r="I53" i="34"/>
  <c r="J53" s="1"/>
  <c r="I54"/>
  <c r="J54" s="1"/>
  <c r="E53" i="21"/>
  <c r="F53" s="1"/>
  <c r="E52"/>
  <c r="F52" s="1"/>
  <c r="I53"/>
  <c r="J53" s="1"/>
  <c r="G54" i="34"/>
  <c r="H54" s="1"/>
  <c r="C48" i="21"/>
  <c r="C49"/>
  <c r="B3" s="1"/>
  <c r="B2" s="1"/>
  <c r="E52" i="33"/>
  <c r="F52" s="1"/>
  <c r="E53"/>
  <c r="F53" s="1"/>
  <c r="I53"/>
  <c r="J53" s="1"/>
  <c r="E54" i="34"/>
  <c r="F54" s="1"/>
  <c r="E53"/>
  <c r="F53" s="1"/>
  <c r="C49" i="33"/>
  <c r="B3" s="1"/>
  <c r="B2" s="1"/>
  <c r="C48"/>
  <c r="U7" i="1" s="1"/>
  <c r="I6" i="6"/>
  <c r="I5"/>
  <c r="B3" i="67"/>
  <c r="B4"/>
  <c r="F6" i="77"/>
  <c r="C13" i="69"/>
  <c r="F6" i="15"/>
  <c r="C14" i="77"/>
  <c r="C16" i="44"/>
  <c r="C14" i="15"/>
  <c r="C13" i="70"/>
  <c r="H22" i="72" l="1"/>
  <c r="L101"/>
  <c r="AI11"/>
  <c r="AI13" s="1"/>
  <c r="M101"/>
  <c r="AJ11"/>
  <c r="AJ13" s="1"/>
  <c r="D101"/>
  <c r="E22"/>
  <c r="G22"/>
  <c r="N101"/>
  <c r="AE11"/>
  <c r="AE13" s="1"/>
  <c r="F22"/>
  <c r="G101"/>
  <c r="E101"/>
  <c r="AH11"/>
  <c r="AH13" s="1"/>
  <c r="AA11"/>
  <c r="AA13" s="1"/>
  <c r="AG11"/>
  <c r="AG13" s="1"/>
  <c r="AC11"/>
  <c r="AC13" s="1"/>
  <c r="AB11"/>
  <c r="AB13" s="1"/>
  <c r="Z7"/>
  <c r="H101"/>
  <c r="B113"/>
  <c r="AD11"/>
  <c r="AD13" s="1"/>
  <c r="Y11"/>
  <c r="Y13" s="1"/>
  <c r="J101"/>
  <c r="K101"/>
  <c r="AF11"/>
  <c r="AF13" s="1"/>
  <c r="Z11"/>
  <c r="Z13" s="1"/>
  <c r="F101"/>
  <c r="C101"/>
  <c r="I101"/>
  <c r="AF11" i="46"/>
  <c r="AF13" s="1"/>
  <c r="AE11"/>
  <c r="AE13" s="1"/>
  <c r="F101"/>
  <c r="B113"/>
  <c r="L101"/>
  <c r="J101"/>
  <c r="AJ11"/>
  <c r="AJ13" s="1"/>
  <c r="AI11"/>
  <c r="AI13" s="1"/>
  <c r="H22"/>
  <c r="AD11"/>
  <c r="AD13" s="1"/>
  <c r="M101"/>
  <c r="H101"/>
  <c r="K101"/>
  <c r="F22"/>
  <c r="G101"/>
  <c r="G22"/>
  <c r="AG11"/>
  <c r="AG13" s="1"/>
  <c r="D101"/>
  <c r="AB11"/>
  <c r="AB13" s="1"/>
  <c r="AH11"/>
  <c r="AH13" s="1"/>
  <c r="I101"/>
  <c r="Y11"/>
  <c r="Y13" s="1"/>
  <c r="AA11"/>
  <c r="AA13" s="1"/>
  <c r="Z11"/>
  <c r="Z13" s="1"/>
  <c r="N104" i="45"/>
  <c r="C101" i="46"/>
  <c r="E101"/>
  <c r="AC11"/>
  <c r="AC13" s="1"/>
  <c r="N101"/>
  <c r="E22"/>
  <c r="Z7"/>
  <c r="AC11" i="71"/>
  <c r="AC13" s="1"/>
  <c r="D101"/>
  <c r="H101"/>
  <c r="K101"/>
  <c r="H22"/>
  <c r="AG11"/>
  <c r="AG13" s="1"/>
  <c r="F22"/>
  <c r="F101"/>
  <c r="J101"/>
  <c r="N101"/>
  <c r="B113"/>
  <c r="Z7"/>
  <c r="Z11"/>
  <c r="Z13" s="1"/>
  <c r="AB11"/>
  <c r="AB13" s="1"/>
  <c r="AF11"/>
  <c r="AF13" s="1"/>
  <c r="AD11"/>
  <c r="AD13" s="1"/>
  <c r="AJ11"/>
  <c r="AJ13" s="1"/>
  <c r="C101"/>
  <c r="AA11"/>
  <c r="AA13" s="1"/>
  <c r="AH11"/>
  <c r="AH13" s="1"/>
  <c r="E22"/>
  <c r="I101"/>
  <c r="AE11"/>
  <c r="AE13" s="1"/>
  <c r="Y11"/>
  <c r="Y13" s="1"/>
  <c r="AI11"/>
  <c r="AI13" s="1"/>
  <c r="G101"/>
  <c r="M101"/>
  <c r="G22"/>
  <c r="E101"/>
  <c r="L101"/>
  <c r="D7" i="59"/>
  <c r="C6"/>
  <c r="S2" i="46"/>
  <c r="T2" s="1"/>
  <c r="V2" s="1"/>
  <c r="S5"/>
  <c r="T5" s="1"/>
  <c r="V5" s="1"/>
  <c r="C23"/>
  <c r="S7"/>
  <c r="T7" s="1"/>
  <c r="V7" s="1"/>
  <c r="S3"/>
  <c r="T3" s="1"/>
  <c r="V3" s="1"/>
  <c r="S6"/>
  <c r="T6" s="1"/>
  <c r="V6" s="1"/>
  <c r="S4"/>
  <c r="T4" s="1"/>
  <c r="V4" s="1"/>
  <c r="S7" i="72"/>
  <c r="T7" s="1"/>
  <c r="V7" s="1"/>
  <c r="S4"/>
  <c r="T4" s="1"/>
  <c r="V4" s="1"/>
  <c r="S3"/>
  <c r="T3" s="1"/>
  <c r="V3" s="1"/>
  <c r="S5"/>
  <c r="T5" s="1"/>
  <c r="V5" s="1"/>
  <c r="S6"/>
  <c r="T6" s="1"/>
  <c r="V6" s="1"/>
  <c r="C23"/>
  <c r="S2"/>
  <c r="T2" s="1"/>
  <c r="V2" s="1"/>
  <c r="S7" i="71"/>
  <c r="T7" s="1"/>
  <c r="V7" s="1"/>
  <c r="S3"/>
  <c r="T3" s="1"/>
  <c r="V3" s="1"/>
  <c r="C23"/>
  <c r="S6"/>
  <c r="T6" s="1"/>
  <c r="V6" s="1"/>
  <c r="S2"/>
  <c r="T2" s="1"/>
  <c r="V2" s="1"/>
  <c r="S4"/>
  <c r="T4" s="1"/>
  <c r="V4" s="1"/>
  <c r="S5"/>
  <c r="T5" s="1"/>
  <c r="V5" s="1"/>
  <c r="C50" i="34"/>
  <c r="B3" s="1"/>
  <c r="B2" s="1"/>
  <c r="C18" i="77"/>
  <c r="C15"/>
  <c r="C6"/>
  <c r="C10" s="1"/>
  <c r="F31"/>
  <c r="F31" i="15"/>
  <c r="C6"/>
  <c r="C10" s="1"/>
  <c r="L57" i="77"/>
  <c r="L60" s="1"/>
  <c r="C25" i="43"/>
  <c r="C24" s="1"/>
  <c r="C22"/>
  <c r="C21" s="1"/>
  <c r="C18" i="12"/>
  <c r="C23" s="1"/>
  <c r="C35" s="1"/>
  <c r="C33" s="1"/>
  <c r="C17" i="70"/>
  <c r="C14"/>
  <c r="C17" i="69"/>
  <c r="C14"/>
  <c r="C20" i="44"/>
  <c r="C17"/>
  <c r="C18" i="15"/>
  <c r="C15"/>
  <c r="R19" i="6"/>
  <c r="H27"/>
  <c r="T16" i="1"/>
  <c r="K70" i="39"/>
  <c r="J72"/>
  <c r="K65" i="40"/>
  <c r="J67"/>
  <c r="K103" i="72" l="1"/>
  <c r="K106"/>
  <c r="K102"/>
  <c r="K104"/>
  <c r="K109"/>
  <c r="K107"/>
  <c r="K105"/>
  <c r="I109" i="71"/>
  <c r="I107"/>
  <c r="I104"/>
  <c r="I105"/>
  <c r="I103"/>
  <c r="I106"/>
  <c r="I102"/>
  <c r="N106"/>
  <c r="N104"/>
  <c r="N102"/>
  <c r="N109"/>
  <c r="N107"/>
  <c r="N103"/>
  <c r="N105"/>
  <c r="N103" i="46"/>
  <c r="N109"/>
  <c r="N104"/>
  <c r="N105"/>
  <c r="N107"/>
  <c r="N106"/>
  <c r="N102"/>
  <c r="L104"/>
  <c r="L109"/>
  <c r="L103"/>
  <c r="L102"/>
  <c r="L106"/>
  <c r="L105"/>
  <c r="L107"/>
  <c r="D22" i="71"/>
  <c r="J109"/>
  <c r="J104"/>
  <c r="J106"/>
  <c r="J102"/>
  <c r="J107"/>
  <c r="J105"/>
  <c r="J103"/>
  <c r="B116" i="46"/>
  <c r="C116" s="1"/>
  <c r="D117"/>
  <c r="E117" s="1"/>
  <c r="F117" s="1"/>
  <c r="G117" s="1"/>
  <c r="H117" s="1"/>
  <c r="D118"/>
  <c r="E118" s="1"/>
  <c r="F118" s="1"/>
  <c r="I116"/>
  <c r="J116" s="1"/>
  <c r="K116" s="1"/>
  <c r="L116" s="1"/>
  <c r="M116" s="1"/>
  <c r="D116"/>
  <c r="E116" s="1"/>
  <c r="F116" s="1"/>
  <c r="G116" s="1"/>
  <c r="H116" s="1"/>
  <c r="D115"/>
  <c r="E115" s="1"/>
  <c r="F115" s="1"/>
  <c r="G115" s="1"/>
  <c r="H115" s="1"/>
  <c r="B118"/>
  <c r="C118" s="1"/>
  <c r="I115"/>
  <c r="J115" s="1"/>
  <c r="K115" s="1"/>
  <c r="L115" s="1"/>
  <c r="M115" s="1"/>
  <c r="I117"/>
  <c r="J117" s="1"/>
  <c r="K117" s="1"/>
  <c r="L117" s="1"/>
  <c r="M117" s="1"/>
  <c r="I118"/>
  <c r="J118" s="1"/>
  <c r="K118" s="1"/>
  <c r="L118" s="1"/>
  <c r="M118" s="1"/>
  <c r="B117"/>
  <c r="C117" s="1"/>
  <c r="G118"/>
  <c r="H118" s="1"/>
  <c r="B115"/>
  <c r="E102" i="72"/>
  <c r="E103"/>
  <c r="E109"/>
  <c r="E107"/>
  <c r="E105"/>
  <c r="E106"/>
  <c r="E104"/>
  <c r="I115" i="71"/>
  <c r="J115" s="1"/>
  <c r="K115" s="1"/>
  <c r="L115" s="1"/>
  <c r="M115" s="1"/>
  <c r="I117"/>
  <c r="J117" s="1"/>
  <c r="K117" s="1"/>
  <c r="L117" s="1"/>
  <c r="M117" s="1"/>
  <c r="B117"/>
  <c r="C117" s="1"/>
  <c r="B115"/>
  <c r="C115" s="1"/>
  <c r="I118"/>
  <c r="J118" s="1"/>
  <c r="K118" s="1"/>
  <c r="L118" s="1"/>
  <c r="M118" s="1"/>
  <c r="B118"/>
  <c r="C118" s="1"/>
  <c r="D116"/>
  <c r="E116" s="1"/>
  <c r="F116" s="1"/>
  <c r="G116" s="1"/>
  <c r="H116" s="1"/>
  <c r="G118"/>
  <c r="H118" s="1"/>
  <c r="B116"/>
  <c r="C116" s="1"/>
  <c r="D118"/>
  <c r="E118" s="1"/>
  <c r="F118" s="1"/>
  <c r="D117"/>
  <c r="E117" s="1"/>
  <c r="F117" s="1"/>
  <c r="G117" s="1"/>
  <c r="H117" s="1"/>
  <c r="D115"/>
  <c r="E115" s="1"/>
  <c r="F115" s="1"/>
  <c r="G115" s="1"/>
  <c r="H115" s="1"/>
  <c r="I116"/>
  <c r="J116" s="1"/>
  <c r="K116" s="1"/>
  <c r="L116" s="1"/>
  <c r="M116" s="1"/>
  <c r="D22" i="46"/>
  <c r="D103"/>
  <c r="D109"/>
  <c r="D107"/>
  <c r="D106"/>
  <c r="D102"/>
  <c r="D104"/>
  <c r="D105"/>
  <c r="J109"/>
  <c r="J106"/>
  <c r="J107"/>
  <c r="J102"/>
  <c r="J103"/>
  <c r="J105"/>
  <c r="J104"/>
  <c r="J103" i="72"/>
  <c r="J102"/>
  <c r="J109"/>
  <c r="J104"/>
  <c r="J106"/>
  <c r="J107"/>
  <c r="J105"/>
  <c r="G109"/>
  <c r="G107"/>
  <c r="G105"/>
  <c r="G103"/>
  <c r="G104"/>
  <c r="G106"/>
  <c r="G102"/>
  <c r="C5" i="59"/>
  <c r="T6"/>
  <c r="D6"/>
  <c r="F106" i="71"/>
  <c r="F104"/>
  <c r="F102"/>
  <c r="F103"/>
  <c r="F105"/>
  <c r="F109"/>
  <c r="F107"/>
  <c r="E104" i="46"/>
  <c r="E102"/>
  <c r="E103"/>
  <c r="E109"/>
  <c r="E105"/>
  <c r="E106"/>
  <c r="E107"/>
  <c r="G103"/>
  <c r="G105"/>
  <c r="G104"/>
  <c r="G106"/>
  <c r="G109"/>
  <c r="G102"/>
  <c r="G107"/>
  <c r="F106"/>
  <c r="F107"/>
  <c r="F109"/>
  <c r="F102"/>
  <c r="F105"/>
  <c r="F103"/>
  <c r="F104"/>
  <c r="I117" i="72"/>
  <c r="J117" s="1"/>
  <c r="K117" s="1"/>
  <c r="L117" s="1"/>
  <c r="M117" s="1"/>
  <c r="B118"/>
  <c r="C118" s="1"/>
  <c r="B117"/>
  <c r="C117" s="1"/>
  <c r="B116"/>
  <c r="C116" s="1"/>
  <c r="I116"/>
  <c r="J116" s="1"/>
  <c r="K116" s="1"/>
  <c r="L116" s="1"/>
  <c r="M116" s="1"/>
  <c r="B115"/>
  <c r="C115" s="1"/>
  <c r="I115"/>
  <c r="J115" s="1"/>
  <c r="K115" s="1"/>
  <c r="L115" s="1"/>
  <c r="M115" s="1"/>
  <c r="G118"/>
  <c r="H118" s="1"/>
  <c r="D118"/>
  <c r="E118" s="1"/>
  <c r="F118" s="1"/>
  <c r="D116"/>
  <c r="E116" s="1"/>
  <c r="F116" s="1"/>
  <c r="G116" s="1"/>
  <c r="H116" s="1"/>
  <c r="D117"/>
  <c r="E117" s="1"/>
  <c r="F117" s="1"/>
  <c r="G117" s="1"/>
  <c r="H117" s="1"/>
  <c r="I118"/>
  <c r="J118" s="1"/>
  <c r="K118" s="1"/>
  <c r="L118" s="1"/>
  <c r="M118" s="1"/>
  <c r="D115"/>
  <c r="E115" s="1"/>
  <c r="F115" s="1"/>
  <c r="G115" s="1"/>
  <c r="H115" s="1"/>
  <c r="N102"/>
  <c r="N107"/>
  <c r="N105"/>
  <c r="N103"/>
  <c r="N109"/>
  <c r="N106"/>
  <c r="N104"/>
  <c r="H105"/>
  <c r="H109"/>
  <c r="H104"/>
  <c r="H107"/>
  <c r="H106"/>
  <c r="H102"/>
  <c r="H103"/>
  <c r="K102" i="46"/>
  <c r="K109"/>
  <c r="K107"/>
  <c r="K106"/>
  <c r="K105"/>
  <c r="K103"/>
  <c r="K104"/>
  <c r="D22" i="72"/>
  <c r="H105" i="46"/>
  <c r="H109"/>
  <c r="H104"/>
  <c r="H103"/>
  <c r="H107"/>
  <c r="H102"/>
  <c r="H106"/>
  <c r="I109" i="72"/>
  <c r="I107"/>
  <c r="I105"/>
  <c r="I103"/>
  <c r="I104"/>
  <c r="I106"/>
  <c r="I102"/>
  <c r="D105"/>
  <c r="D103"/>
  <c r="D109"/>
  <c r="D102"/>
  <c r="D104"/>
  <c r="D106"/>
  <c r="D107"/>
  <c r="E104" i="71"/>
  <c r="E107"/>
  <c r="E105"/>
  <c r="E103"/>
  <c r="E106"/>
  <c r="E102"/>
  <c r="E109"/>
  <c r="K102"/>
  <c r="K105"/>
  <c r="K107"/>
  <c r="K103"/>
  <c r="K109"/>
  <c r="K104"/>
  <c r="K106"/>
  <c r="M109" i="46"/>
  <c r="M107"/>
  <c r="M106"/>
  <c r="M105"/>
  <c r="M103"/>
  <c r="M102"/>
  <c r="M104"/>
  <c r="C109" i="72"/>
  <c r="C107"/>
  <c r="C105"/>
  <c r="C103"/>
  <c r="C106"/>
  <c r="C102"/>
  <c r="C104"/>
  <c r="L106" i="71"/>
  <c r="L104"/>
  <c r="L109"/>
  <c r="L102"/>
  <c r="L107"/>
  <c r="L105"/>
  <c r="L103"/>
  <c r="C106"/>
  <c r="C104"/>
  <c r="C102"/>
  <c r="C107"/>
  <c r="C103"/>
  <c r="C105"/>
  <c r="C109"/>
  <c r="M102"/>
  <c r="M105"/>
  <c r="M109"/>
  <c r="M106"/>
  <c r="M107"/>
  <c r="M103"/>
  <c r="M104"/>
  <c r="H107"/>
  <c r="H104"/>
  <c r="H103"/>
  <c r="H109"/>
  <c r="H106"/>
  <c r="H102"/>
  <c r="H105"/>
  <c r="F104" i="72"/>
  <c r="F107"/>
  <c r="F105"/>
  <c r="F103"/>
  <c r="F102"/>
  <c r="F109"/>
  <c r="F106"/>
  <c r="M109"/>
  <c r="M107"/>
  <c r="M105"/>
  <c r="M103"/>
  <c r="M102"/>
  <c r="M104"/>
  <c r="M106"/>
  <c r="C103" i="46"/>
  <c r="C104"/>
  <c r="C105"/>
  <c r="C102"/>
  <c r="C106"/>
  <c r="C107"/>
  <c r="C109"/>
  <c r="G109" i="71"/>
  <c r="G106"/>
  <c r="G104"/>
  <c r="G102"/>
  <c r="G105"/>
  <c r="G107"/>
  <c r="G103"/>
  <c r="D107"/>
  <c r="D105"/>
  <c r="D102"/>
  <c r="D103"/>
  <c r="D104"/>
  <c r="D106"/>
  <c r="D109"/>
  <c r="I104" i="46"/>
  <c r="I107"/>
  <c r="I103"/>
  <c r="I102"/>
  <c r="I106"/>
  <c r="I109"/>
  <c r="I105"/>
  <c r="L103" i="72"/>
  <c r="L109"/>
  <c r="L106"/>
  <c r="L102"/>
  <c r="L104"/>
  <c r="L107"/>
  <c r="L105"/>
  <c r="C19" i="77"/>
  <c r="C20" s="1"/>
  <c r="C26" s="1"/>
  <c r="C32"/>
  <c r="C5"/>
  <c r="C38" s="1"/>
  <c r="C32" i="15"/>
  <c r="C5"/>
  <c r="C38" s="1"/>
  <c r="Q67" i="77"/>
  <c r="Q58"/>
  <c r="C18" i="70"/>
  <c r="C23" s="1"/>
  <c r="C28" i="12"/>
  <c r="C26" s="1"/>
  <c r="C31" s="1"/>
  <c r="C30" s="1"/>
  <c r="C36" s="1"/>
  <c r="C28" i="43"/>
  <c r="C30" s="1"/>
  <c r="C32" s="1"/>
  <c r="B2" s="1"/>
  <c r="C18" i="69"/>
  <c r="C23" s="1"/>
  <c r="C21" i="44"/>
  <c r="C22" s="1"/>
  <c r="C28" s="1"/>
  <c r="C19" i="15"/>
  <c r="C20" s="1"/>
  <c r="C23" s="1"/>
  <c r="R27" i="6"/>
  <c r="R6" i="1"/>
  <c r="K67" i="40"/>
  <c r="L65"/>
  <c r="L70" i="39"/>
  <c r="K72"/>
  <c r="D113" i="71" l="1"/>
  <c r="J22" s="1"/>
  <c r="C21" s="1"/>
  <c r="H3" i="68" s="1"/>
  <c r="J3" s="1"/>
  <c r="B11" s="1"/>
  <c r="D113" i="72"/>
  <c r="J22" s="1"/>
  <c r="C21" s="1"/>
  <c r="D5" i="59"/>
  <c r="M20" i="46"/>
  <c r="M20" i="72"/>
  <c r="M20" i="71"/>
  <c r="C115" i="46"/>
  <c r="D113"/>
  <c r="J22" s="1"/>
  <c r="C21" s="1"/>
  <c r="C29" s="1"/>
  <c r="C23" i="77"/>
  <c r="C29" s="1"/>
  <c r="C37" i="12"/>
  <c r="B2"/>
  <c r="B4" i="43"/>
  <c r="B5"/>
  <c r="B3"/>
  <c r="R16" i="1"/>
  <c r="C25" i="44"/>
  <c r="C31" s="1"/>
  <c r="Q51" s="1"/>
  <c r="C26" i="15"/>
  <c r="C29" s="1"/>
  <c r="Q50" s="1"/>
  <c r="M65" i="40"/>
  <c r="L67"/>
  <c r="L72" i="39"/>
  <c r="M70"/>
  <c r="B3" i="12"/>
  <c r="K3" i="68" l="1"/>
  <c r="C29" i="71"/>
  <c r="E29" s="1"/>
  <c r="C26" s="1"/>
  <c r="B2" s="1"/>
  <c r="D4" s="1"/>
  <c r="E29" i="46"/>
  <c r="C26" s="1"/>
  <c r="B2" s="1"/>
  <c r="C30"/>
  <c r="E30" s="1"/>
  <c r="C27" s="1"/>
  <c r="H4" i="68"/>
  <c r="J4" s="1"/>
  <c r="C29" i="72"/>
  <c r="J59" i="77"/>
  <c r="J60" s="1"/>
  <c r="J19"/>
  <c r="J17" s="1"/>
  <c r="C36"/>
  <c r="C33"/>
  <c r="C31" s="1"/>
  <c r="C56"/>
  <c r="C13"/>
  <c r="J14"/>
  <c r="Q50"/>
  <c r="J16" i="44"/>
  <c r="J24" s="1"/>
  <c r="C15"/>
  <c r="Q72" s="1"/>
  <c r="C38"/>
  <c r="J21"/>
  <c r="J19" s="1"/>
  <c r="C35"/>
  <c r="C33" s="1"/>
  <c r="J19" i="15"/>
  <c r="J17" s="1"/>
  <c r="J59"/>
  <c r="J60" s="1"/>
  <c r="C36"/>
  <c r="C33"/>
  <c r="C31" s="1"/>
  <c r="C56"/>
  <c r="C60" s="1"/>
  <c r="C58" s="1"/>
  <c r="J14"/>
  <c r="J13" s="1"/>
  <c r="J23" s="1"/>
  <c r="C13"/>
  <c r="Q71" s="1"/>
  <c r="M67" i="40"/>
  <c r="H9" s="1"/>
  <c r="N65"/>
  <c r="N67" s="1"/>
  <c r="F9" s="1"/>
  <c r="M72" i="39"/>
  <c r="N70"/>
  <c r="N72" s="1"/>
  <c r="J9" s="1"/>
  <c r="B5" i="12"/>
  <c r="B4"/>
  <c r="B4" i="71" l="1"/>
  <c r="B3"/>
  <c r="C30"/>
  <c r="E30" s="1"/>
  <c r="C27" s="1"/>
  <c r="C30" i="72"/>
  <c r="E30" s="1"/>
  <c r="C27" s="1"/>
  <c r="E29"/>
  <c r="C26" s="1"/>
  <c r="B2" s="1"/>
  <c r="K4" i="68"/>
  <c r="B12"/>
  <c r="B3" i="46"/>
  <c r="D4"/>
  <c r="B4"/>
  <c r="Q71" i="77"/>
  <c r="C55"/>
  <c r="C64" s="1"/>
  <c r="C37"/>
  <c r="C30" s="1"/>
  <c r="C39" s="1"/>
  <c r="J35"/>
  <c r="J22"/>
  <c r="J13"/>
  <c r="J23" s="1"/>
  <c r="C63"/>
  <c r="C60"/>
  <c r="C58" s="1"/>
  <c r="Q49"/>
  <c r="L46"/>
  <c r="C39" i="44"/>
  <c r="C32" s="1"/>
  <c r="C42" s="1"/>
  <c r="Q71" s="1"/>
  <c r="Q70" s="1"/>
  <c r="J22" i="15"/>
  <c r="J16" s="1"/>
  <c r="J25" s="1"/>
  <c r="J15" i="44"/>
  <c r="J25" s="1"/>
  <c r="J18" s="1"/>
  <c r="J27" s="1"/>
  <c r="C43"/>
  <c r="Q49" i="15"/>
  <c r="J35"/>
  <c r="C37"/>
  <c r="C30" s="1"/>
  <c r="C39" s="1"/>
  <c r="C40" s="1"/>
  <c r="C10" i="70" s="1"/>
  <c r="C6" s="1"/>
  <c r="C63" i="15"/>
  <c r="C55"/>
  <c r="C64" s="1"/>
  <c r="W9" i="39"/>
  <c r="AC9"/>
  <c r="V49" s="1"/>
  <c r="I49" s="1"/>
  <c r="AA9" i="40"/>
  <c r="R44" s="1"/>
  <c r="S9"/>
  <c r="F9" i="39"/>
  <c r="H9"/>
  <c r="U9" i="40"/>
  <c r="AB9"/>
  <c r="T44" s="1"/>
  <c r="G44" s="1"/>
  <c r="G48" s="1"/>
  <c r="H48" s="1"/>
  <c r="J9"/>
  <c r="L51" i="77"/>
  <c r="C19" i="9"/>
  <c r="L43" l="1"/>
  <c r="B3" i="72"/>
  <c r="D4"/>
  <c r="B4"/>
  <c r="C57" i="77"/>
  <c r="C66" s="1"/>
  <c r="C67" s="1"/>
  <c r="C70" s="1"/>
  <c r="J16"/>
  <c r="J25" s="1"/>
  <c r="Q68"/>
  <c r="J39"/>
  <c r="J40" s="1"/>
  <c r="Q70"/>
  <c r="Q69" s="1"/>
  <c r="C40"/>
  <c r="C24" i="70"/>
  <c r="C29"/>
  <c r="C44" i="44"/>
  <c r="C45" s="1"/>
  <c r="B2" s="1"/>
  <c r="Q70" i="15"/>
  <c r="Q69" s="1"/>
  <c r="J39"/>
  <c r="J40" s="1"/>
  <c r="C57"/>
  <c r="C66" s="1"/>
  <c r="C67" s="1"/>
  <c r="C70" s="1"/>
  <c r="Q57"/>
  <c r="Q66"/>
  <c r="J42"/>
  <c r="J43" s="1"/>
  <c r="C43"/>
  <c r="C8" i="70" s="1"/>
  <c r="B8" i="68" s="1"/>
  <c r="I8" s="1"/>
  <c r="Q48" i="15"/>
  <c r="Q54" s="1"/>
  <c r="W9" i="40"/>
  <c r="AC9"/>
  <c r="V44" s="1"/>
  <c r="I44" s="1"/>
  <c r="AB9" i="39"/>
  <c r="T49" s="1"/>
  <c r="G49" s="1"/>
  <c r="U9"/>
  <c r="I53"/>
  <c r="J53" s="1"/>
  <c r="AA9"/>
  <c r="R49" s="1"/>
  <c r="S9"/>
  <c r="E44" i="40"/>
  <c r="R45"/>
  <c r="C20" i="9"/>
  <c r="L51" i="15"/>
  <c r="C21" i="9"/>
  <c r="C10" i="69" l="1"/>
  <c r="C6" s="1"/>
  <c r="C43" i="77"/>
  <c r="C8" i="69" s="1"/>
  <c r="B9" i="68" s="1"/>
  <c r="I9" s="1"/>
  <c r="Q48" i="77"/>
  <c r="Q54" s="1"/>
  <c r="Q57"/>
  <c r="Q63" s="1"/>
  <c r="Q66"/>
  <c r="Q76" s="1"/>
  <c r="J42"/>
  <c r="J43" s="1"/>
  <c r="B2"/>
  <c r="B3" s="1"/>
  <c r="C46"/>
  <c r="C35" i="70"/>
  <c r="C33" s="1"/>
  <c r="C28"/>
  <c r="C26" s="1"/>
  <c r="C31" s="1"/>
  <c r="C30" s="1"/>
  <c r="Q68" i="15"/>
  <c r="L57"/>
  <c r="L60" s="1"/>
  <c r="L52" i="44"/>
  <c r="Q69" s="1"/>
  <c r="C46" i="15"/>
  <c r="B3" i="44"/>
  <c r="B4"/>
  <c r="B5"/>
  <c r="E49" i="40"/>
  <c r="F49" s="1"/>
  <c r="E48"/>
  <c r="F48" s="1"/>
  <c r="C45"/>
  <c r="C44"/>
  <c r="G49"/>
  <c r="H49" s="1"/>
  <c r="I48"/>
  <c r="J48" s="1"/>
  <c r="I49"/>
  <c r="J49" s="1"/>
  <c r="E49" i="39"/>
  <c r="R50"/>
  <c r="G53"/>
  <c r="H53" s="1"/>
  <c r="G54"/>
  <c r="H54" s="1"/>
  <c r="C29" i="69" l="1"/>
  <c r="C24"/>
  <c r="C36" i="70"/>
  <c r="Q67" i="15"/>
  <c r="Q76" s="1"/>
  <c r="L46"/>
  <c r="B2" s="1"/>
  <c r="B3" s="1"/>
  <c r="Q58"/>
  <c r="Q63" s="1"/>
  <c r="L58" i="44"/>
  <c r="L61" s="1"/>
  <c r="Q68" s="1"/>
  <c r="Q77" s="1"/>
  <c r="C49" i="39"/>
  <c r="C50"/>
  <c r="B61" i="40"/>
  <c r="F61" s="1"/>
  <c r="B55"/>
  <c r="F55" s="1"/>
  <c r="B57"/>
  <c r="F57" s="1"/>
  <c r="B54"/>
  <c r="F54" s="1"/>
  <c r="B58"/>
  <c r="F58" s="1"/>
  <c r="B56"/>
  <c r="F56" s="1"/>
  <c r="B60"/>
  <c r="F60" s="1"/>
  <c r="B53"/>
  <c r="F53" s="1"/>
  <c r="B62"/>
  <c r="F62" s="1"/>
  <c r="B59"/>
  <c r="F59" s="1"/>
  <c r="F63"/>
  <c r="B2" s="1"/>
  <c r="E54" i="39"/>
  <c r="F54" s="1"/>
  <c r="E53"/>
  <c r="F53" s="1"/>
  <c r="I54"/>
  <c r="J54" s="1"/>
  <c r="C35" i="69" l="1"/>
  <c r="C33" s="1"/>
  <c r="C28"/>
  <c r="C26" s="1"/>
  <c r="C31" s="1"/>
  <c r="C30" s="1"/>
  <c r="B2" i="70"/>
  <c r="C37"/>
  <c r="J8" i="68" s="1"/>
  <c r="Q59" i="44"/>
  <c r="Q64" s="1"/>
  <c r="B4" i="40"/>
  <c r="B3"/>
  <c r="B5"/>
  <c r="B67" i="39"/>
  <c r="F67" s="1"/>
  <c r="B59"/>
  <c r="F59" s="1"/>
  <c r="B66"/>
  <c r="F66" s="1"/>
  <c r="B62"/>
  <c r="F62" s="1"/>
  <c r="B64"/>
  <c r="F64" s="1"/>
  <c r="B60"/>
  <c r="F60" s="1"/>
  <c r="F68"/>
  <c r="B2" s="1"/>
  <c r="B63"/>
  <c r="F63" s="1"/>
  <c r="B65"/>
  <c r="F65" s="1"/>
  <c r="B61"/>
  <c r="F61" s="1"/>
  <c r="B58"/>
  <c r="F58" s="1"/>
  <c r="B5" i="70"/>
  <c r="B3"/>
  <c r="C36" i="69" l="1"/>
  <c r="C37" s="1"/>
  <c r="J9" i="68" s="1"/>
  <c r="D11"/>
  <c r="J11" s="1"/>
  <c r="K8"/>
  <c r="B5" i="39"/>
  <c r="B4"/>
  <c r="B3"/>
  <c r="B4" i="70"/>
  <c r="B2" i="69" l="1"/>
  <c r="K9" i="68"/>
  <c r="D12"/>
  <c r="J12" s="1"/>
  <c r="B3" i="73"/>
  <c r="B8" s="1"/>
  <c r="K11" i="68"/>
  <c r="D19" i="9"/>
  <c r="B3" i="69"/>
  <c r="L44" i="9" l="1"/>
  <c r="D22"/>
  <c r="G19"/>
  <c r="K12" i="68"/>
  <c r="L12" s="1"/>
  <c r="I20" s="1"/>
  <c r="I12"/>
  <c r="I13" s="1"/>
  <c r="B4" i="73"/>
  <c r="B5" i="69"/>
  <c r="B4"/>
  <c r="D20" i="9"/>
  <c r="I14" i="68" l="1"/>
  <c r="I16" s="1"/>
  <c r="G20" i="9"/>
  <c r="C32"/>
  <c r="G22"/>
  <c r="N43"/>
  <c r="B9" i="73"/>
  <c r="D9" s="1"/>
  <c r="D10" s="1"/>
  <c r="D4"/>
  <c r="D5" s="1"/>
  <c r="D21" i="9"/>
  <c r="G21" l="1"/>
  <c r="C42"/>
  <c r="O43"/>
  <c r="C34"/>
  <c r="C33"/>
  <c r="O38"/>
  <c r="C35"/>
  <c r="F42" s="1"/>
  <c r="N38" l="1"/>
  <c r="K28" s="1"/>
  <c r="D42"/>
  <c r="Q5" i="54" s="1"/>
  <c r="B47" i="63" s="1"/>
  <c r="K25" i="9"/>
  <c r="K26"/>
  <c r="E42"/>
  <c r="P5" i="54" s="1"/>
  <c r="B46" i="63" s="1"/>
  <c r="M38" i="9"/>
  <c r="K27" s="1"/>
  <c r="R5" i="54"/>
  <c r="B48" i="63" s="1"/>
  <c r="D14" i="66"/>
  <c r="D63" i="9"/>
  <c r="N68"/>
  <c r="B5" i="66" l="1"/>
  <c r="E14"/>
  <c r="F14"/>
  <c r="D73" i="9"/>
  <c r="N73" s="1"/>
  <c r="C103"/>
  <c r="C111"/>
  <c r="C104" s="1"/>
  <c r="D70"/>
  <c r="C96"/>
  <c r="C91" s="1"/>
  <c r="C90"/>
  <c r="C82"/>
  <c r="C81" s="1"/>
  <c r="C85" s="1"/>
  <c r="C86" s="1"/>
  <c r="D72" s="1"/>
  <c r="D71"/>
  <c r="D66" s="1"/>
  <c r="N72" s="1"/>
  <c r="C97" l="1"/>
  <c r="C113"/>
  <c r="C5" i="66"/>
  <c r="D5"/>
  <c r="C114" i="9" l="1"/>
  <c r="E114" s="1"/>
  <c r="E115" s="1"/>
  <c r="C98"/>
  <c r="E98" s="1"/>
  <c r="E99" s="1"/>
  <c r="C99" l="1"/>
  <c r="C115"/>
  <c r="D76" s="1"/>
  <c r="D74" s="1"/>
  <c r="N74" s="1"/>
  <c r="O77" s="1"/>
  <c r="O78" s="1"/>
  <c r="O79" l="1"/>
  <c r="O80" s="1"/>
  <c r="Q77"/>
  <c r="O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<sst xmlns="http://schemas.openxmlformats.org/spreadsheetml/2006/main" count="8358" uniqueCount="3176">
  <si>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</si>
  <si>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</si>
  <si>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</si>
  <si>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</si>
  <si>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</si>
  <si>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</si>
  <si>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</si>
  <si>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</si>
  <si>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</si>
  <si>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</si>
  <si>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</si>
  <si>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</si>
  <si>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</si>
  <si>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</si>
  <si>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</si>
  <si>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</si>
  <si>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</si>
  <si>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</si>
  <si>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</si>
  <si>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</si>
  <si>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</si>
  <si>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</si>
  <si>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</si>
  <si>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</si>
  <si>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</si>
  <si>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</si>
  <si>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</si>
  <si>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</si>
  <si>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</si>
  <si>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</si>
  <si>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</si>
  <si>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</si>
  <si>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</si>
  <si>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</si>
  <si>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</si>
  <si>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</si>
  <si>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</si>
  <si>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</si>
  <si>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</si>
  <si>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</si>
  <si>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</si>
  <si>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</si>
  <si>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</si>
  <si>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</si>
  <si>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</si>
  <si>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</si>
  <si>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</si>
  <si>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</si>
  <si>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</si>
  <si>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</si>
  <si>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</si>
  <si>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</si>
  <si>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</si>
  <si>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</si>
  <si>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</si>
  <si>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</si>
  <si>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</si>
  <si>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</si>
  <si>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</si>
  <si>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</si>
  <si>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</si>
  <si>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</si>
  <si>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</si>
  <si>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</si>
  <si>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</si>
  <si>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</si>
  <si>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</si>
  <si>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</si>
  <si>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</si>
  <si>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</si>
  <si>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</si>
  <si>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</si>
  <si>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</si>
  <si>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</si>
  <si>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</si>
  <si>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</si>
  <si>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</si>
  <si>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</si>
  <si>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</si>
  <si>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</si>
  <si>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</si>
  <si>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</si>
  <si>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</si>
  <si>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</si>
  <si>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</si>
  <si>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</si>
  <si>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</si>
  <si>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</si>
  <si>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</si>
  <si>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</si>
  <si>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</si>
  <si>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</si>
  <si>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</si>
  <si>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</si>
  <si>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</si>
  <si>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</si>
  <si>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</si>
  <si>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</si>
  <si>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</si>
  <si>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</si>
  <si>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</si>
  <si>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</si>
  <si>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</si>
  <si>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</si>
  <si>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</si>
  <si>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</si>
  <si>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</si>
  <si>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</si>
  <si>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</si>
  <si>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</si>
  <si>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</si>
  <si>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</si>
  <si>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</si>
  <si>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</si>
  <si>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</si>
  <si>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</si>
  <si>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</si>
  <si>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</si>
  <si>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</si>
  <si>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</si>
  <si>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</si>
  <si>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</si>
  <si>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</si>
  <si>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</si>
  <si>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</si>
  <si>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</si>
  <si>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</si>
  <si>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</si>
  <si>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</si>
  <si>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</si>
  <si>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</si>
  <si>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</si>
  <si>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</si>
  <si>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</si>
  <si>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</si>
  <si>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</si>
  <si>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</si>
  <si>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</si>
  <si>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</si>
  <si>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</si>
  <si>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</si>
  <si>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</si>
  <si>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</si>
  <si>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</si>
  <si>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</si>
  <si>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</si>
  <si>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</si>
  <si>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</si>
  <si>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</si>
  <si>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</si>
  <si>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</si>
  <si>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</si>
  <si>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</si>
  <si>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</si>
  <si>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</si>
  <si>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</si>
  <si>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</si>
  <si>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</si>
  <si>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</si>
  <si>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</si>
  <si>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</si>
  <si>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</si>
  <si>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</si>
  <si>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</si>
  <si>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</si>
  <si>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</si>
  <si>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</si>
  <si>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</si>
  <si>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</si>
  <si>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</si>
  <si>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</si>
  <si>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</si>
  <si>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</si>
  <si>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</si>
  <si>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</si>
  <si>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</si>
  <si>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</si>
  <si>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</si>
  <si>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</si>
  <si>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</si>
  <si>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</si>
  <si>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</si>
  <si>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</si>
  <si>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</si>
  <si>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</si>
  <si>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</si>
  <si>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</si>
  <si>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</si>
  <si>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</si>
  <si>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</si>
  <si>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</si>
  <si>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</si>
  <si>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</si>
  <si>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</si>
  <si>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</si>
  <si>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</si>
  <si>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</si>
  <si>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</si>
  <si>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</si>
  <si>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</si>
  <si>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</si>
  <si>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</si>
  <si>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</si>
  <si>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</si>
  <si>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</si>
  <si>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</si>
  <si>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</si>
  <si>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</si>
  <si>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</si>
  <si>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</si>
  <si>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</si>
  <si>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</si>
  <si>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</si>
  <si>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</si>
  <si>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</si>
  <si>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</si>
  <si>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</si>
  <si>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</si>
  <si>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</si>
  <si>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</si>
  <si>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</si>
  <si>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</si>
  <si>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</si>
  <si>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</si>
  <si>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</si>
  <si>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</si>
  <si>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</si>
  <si>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</si>
  <si>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</si>
  <si>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</si>
  <si>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</si>
  <si>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</si>
  <si>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</si>
  <si>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</si>
  <si>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</si>
  <si>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</si>
  <si>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</si>
  <si>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</si>
  <si>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</si>
  <si>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</si>
  <si>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</si>
  <si>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</si>
  <si>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</si>
  <si>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</si>
  <si>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</si>
  <si>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</si>
  <si>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</si>
  <si>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</si>
  <si>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</si>
  <si>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</si>
  <si>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</si>
  <si>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</si>
  <si>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</si>
  <si>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</si>
  <si>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</si>
  <si>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</si>
  <si>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</si>
  <si>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</si>
  <si>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</si>
  <si>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</si>
  <si>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</si>
  <si>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</si>
  <si>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</si>
  <si>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</si>
  <si>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</si>
  <si>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</si>
  <si>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</si>
  <si>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</si>
  <si>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</si>
  <si>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</si>
  <si>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</si>
  <si>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</si>
  <si>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</si>
  <si>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</si>
  <si>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</si>
  <si>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</si>
  <si>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</si>
  <si>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</si>
  <si>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</si>
  <si>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</si>
  <si>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</si>
  <si>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</si>
  <si>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</si>
  <si>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</si>
  <si>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</si>
  <si>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</si>
  <si>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</si>
  <si>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</si>
  <si>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</si>
  <si>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</si>
  <si>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</si>
  <si>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</si>
  <si>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</si>
  <si>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</si>
  <si>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</si>
  <si>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</si>
  <si>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</si>
  <si>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</si>
  <si>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</si>
  <si>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</si>
  <si>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</si>
  <si>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</si>
  <si>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</si>
  <si>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</si>
  <si>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</si>
  <si>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</si>
  <si>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</si>
  <si>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</si>
  <si>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</si>
  <si>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</si>
  <si>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</si>
  <si>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</si>
  <si>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</si>
  <si>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</si>
  <si>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</si>
  <si>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</si>
  <si>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</si>
  <si>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</si>
  <si>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</si>
  <si>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</si>
  <si>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</si>
  <si>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</si>
  <si>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</si>
  <si>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</si>
  <si>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</si>
  <si>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</si>
  <si>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</si>
  <si>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</si>
  <si>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</si>
  <si>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</si>
  <si>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</si>
  <si>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</si>
  <si>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</si>
  <si>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</si>
  <si>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</si>
  <si>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</si>
  <si>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</si>
  <si>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</si>
  <si>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</si>
  <si>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</si>
  <si>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</si>
  <si>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</si>
  <si>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</si>
  <si>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</si>
  <si>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</si>
  <si>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</si>
  <si>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</si>
  <si>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</si>
  <si>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</si>
  <si>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</si>
  <si>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</si>
  <si>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</si>
  <si>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</si>
  <si>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</si>
  <si>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</si>
  <si>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</si>
  <si>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</si>
  <si>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</si>
  <si>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</si>
  <si>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</si>
  <si>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</si>
  <si>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</si>
  <si>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</si>
  <si>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</si>
  <si>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</si>
  <si>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</si>
  <si>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</si>
  <si>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</si>
  <si>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</si>
  <si>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</si>
  <si>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</si>
  <si>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</si>
  <si>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</si>
  <si>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</si>
  <si>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</si>
  <si>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</si>
  <si>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</si>
  <si>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</si>
  <si>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</si>
  <si>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</si>
  <si>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</si>
  <si>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</si>
  <si>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</si>
  <si>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</si>
  <si>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</si>
  <si>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</si>
  <si>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</si>
  <si>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</si>
  <si>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</si>
  <si>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</si>
  <si>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</si>
  <si>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</si>
  <si>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</si>
  <si>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</si>
  <si>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</si>
  <si>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</si>
  <si>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</si>
  <si>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</si>
  <si>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</si>
  <si>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</si>
  <si>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</si>
  <si>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</si>
  <si>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</si>
  <si>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</si>
  <si>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</si>
  <si>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</si>
  <si>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</si>
  <si>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</si>
  <si>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</si>
  <si>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</si>
  <si>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</si>
  <si>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</si>
  <si>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</si>
  <si>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</si>
  <si>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</si>
  <si>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</si>
  <si>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</si>
  <si>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</si>
  <si>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</si>
  <si>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</si>
  <si>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</si>
  <si>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</si>
  <si>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</si>
  <si>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</si>
  <si>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</si>
  <si>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</si>
  <si>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</si>
  <si>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</si>
  <si>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</si>
  <si>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</si>
  <si>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</si>
  <si>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</si>
  <si>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</si>
  <si>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</si>
  <si>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</si>
  <si>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</si>
  <si>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</si>
  <si>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</si>
  <si>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</si>
  <si>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</si>
  <si>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</si>
  <si>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</si>
  <si>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</si>
  <si>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</si>
  <si>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</si>
  <si>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</si>
  <si>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</si>
  <si>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</si>
  <si>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</si>
  <si>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</si>
  <si>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</si>
  <si>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</si>
  <si>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</si>
  <si>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</si>
  <si>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</si>
  <si>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</si>
  <si>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</si>
  <si>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</si>
  <si>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</si>
  <si>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</si>
  <si>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</si>
  <si>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</si>
  <si>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</si>
  <si>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</si>
  <si>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</si>
  <si>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</si>
  <si>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</si>
  <si>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</si>
  <si>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</si>
  <si>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</si>
  <si>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</si>
  <si>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</si>
  <si>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</si>
  <si>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</si>
  <si>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</si>
  <si>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</si>
  <si>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</si>
  <si>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</si>
  <si>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</si>
  <si>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</si>
  <si>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</si>
  <si>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</si>
  <si>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</si>
  <si>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</si>
  <si>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</si>
  <si>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</si>
  <si>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</si>
  <si>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</si>
  <si>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</si>
  <si>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</si>
  <si>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</si>
  <si>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</si>
  <si>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</si>
  <si>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</si>
  <si>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</si>
  <si>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</si>
  <si>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</si>
  <si>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</si>
  <si>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</si>
  <si>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</si>
  <si>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</si>
  <si>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</si>
  <si>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</si>
  <si>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</si>
  <si>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</si>
  <si>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</si>
  <si>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</si>
  <si>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</si>
  <si>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</si>
  <si>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</si>
  <si>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</si>
  <si>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</si>
  <si>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</si>
  <si>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</si>
  <si>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</si>
  <si>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</si>
  <si>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</si>
  <si>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</si>
  <si>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</si>
  <si>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</si>
  <si>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</si>
  <si>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</si>
  <si>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</si>
  <si>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</si>
  <si>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</si>
  <si>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</si>
  <si>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</si>
  <si>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</si>
  <si>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</si>
  <si>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</si>
  <si>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</si>
  <si>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</si>
  <si>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</si>
  <si>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</si>
  <si>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</si>
  <si>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</si>
  <si>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</si>
  <si>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</si>
  <si>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</si>
  <si>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</si>
  <si>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</si>
  <si>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</si>
  <si>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</si>
  <si>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</si>
  <si>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</si>
  <si>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</si>
  <si>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</si>
  <si>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</si>
  <si>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</si>
  <si>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</si>
  <si>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</si>
  <si>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</si>
  <si>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</si>
  <si>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</si>
  <si>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</si>
  <si>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</si>
  <si>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</si>
  <si>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</si>
  <si>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</si>
  <si>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</si>
  <si>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</si>
  <si>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</si>
  <si>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</si>
  <si>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</si>
  <si>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</si>
  <si>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</si>
  <si>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</si>
  <si>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</si>
  <si>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</si>
  <si>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</si>
  <si>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</si>
  <si>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</si>
  <si>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</si>
  <si>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</si>
  <si>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</si>
  <si>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</si>
  <si>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</si>
  <si>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</si>
  <si>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</si>
  <si>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</si>
  <si>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</si>
  <si>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</si>
  <si>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</si>
  <si>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</si>
  <si>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</si>
  <si>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</si>
  <si>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</si>
  <si>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</si>
  <si>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</si>
  <si>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</si>
  <si>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</si>
  <si>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</si>
  <si>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</si>
  <si>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</si>
  <si>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</si>
  <si>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</si>
  <si>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</si>
  <si>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</si>
  <si>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</si>
  <si>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</si>
  <si>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</si>
  <si>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</si>
  <si>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</si>
  <si>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</si>
  <si>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</si>
  <si>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</si>
  <si>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</si>
  <si>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</si>
  <si>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</si>
  <si>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</si>
  <si>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</si>
  <si>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</si>
  <si>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</si>
  <si>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</si>
  <si>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</si>
  <si>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</si>
  <si>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</si>
  <si>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</si>
  <si>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</si>
  <si>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</si>
  <si>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</si>
  <si>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</si>
  <si>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</si>
  <si>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</si>
  <si>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</si>
  <si>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</si>
  <si>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</si>
  <si>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</si>
  <si>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</si>
  <si>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</si>
  <si>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</si>
  <si>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</si>
  <si>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</si>
  <si>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</si>
  <si>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</si>
  <si>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</si>
  <si>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</si>
  <si>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</si>
  <si>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</si>
  <si>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</si>
  <si>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</si>
  <si>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</si>
  <si>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</si>
  <si>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</si>
  <si>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</si>
  <si>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</si>
  <si>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</si>
  <si>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</si>
  <si>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</si>
  <si>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</si>
  <si>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</si>
  <si>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</si>
  <si>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</si>
  <si>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</si>
  <si>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</si>
  <si>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</si>
  <si>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</si>
  <si>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</si>
  <si>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</si>
  <si>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</si>
  <si>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</si>
  <si>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</si>
  <si>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</si>
  <si>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</si>
  <si>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</si>
  <si>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</si>
  <si>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</si>
  <si>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</si>
  <si>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</si>
  <si>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</si>
  <si>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</si>
  <si>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</si>
  <si>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</si>
  <si>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</si>
  <si>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</si>
  <si>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</si>
  <si>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</si>
  <si>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</si>
  <si>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</si>
  <si>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</si>
  <si>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</si>
  <si>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</si>
  <si>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</si>
  <si>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</si>
  <si>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</si>
  <si>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</si>
  <si>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</si>
  <si>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</si>
  <si>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</si>
  <si>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</si>
  <si>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</si>
  <si>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</si>
  <si>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</si>
  <si>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</si>
  <si>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</si>
  <si>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</si>
  <si>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</si>
  <si>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</si>
  <si>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</si>
  <si>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</si>
  <si>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</si>
  <si>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</si>
  <si>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</si>
  <si>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</si>
  <si>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</si>
  <si>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</si>
  <si>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</si>
  <si>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</si>
  <si>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</si>
  <si>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</si>
  <si>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</si>
  <si>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</si>
  <si>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</si>
  <si>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</si>
  <si>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</si>
  <si>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</si>
  <si>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</si>
  <si>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</si>
  <si>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</si>
  <si>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</si>
  <si>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</si>
  <si>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</si>
  <si>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</si>
  <si>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</si>
  <si>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</si>
  <si>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</si>
  <si>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</si>
  <si>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</si>
  <si>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</si>
  <si>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</si>
  <si>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</si>
  <si>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</si>
  <si>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</si>
  <si>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</si>
  <si>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</si>
  <si>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</si>
  <si>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</si>
  <si>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</si>
  <si>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</si>
  <si>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</si>
  <si>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</si>
  <si>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</si>
  <si>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</si>
  <si>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</si>
  <si>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</si>
  <si>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</si>
  <si>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</si>
  <si>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</si>
  <si>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</si>
  <si>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</si>
  <si>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</si>
  <si>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</si>
  <si>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</si>
  <si>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</si>
  <si>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</si>
  <si>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</si>
  <si>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</si>
  <si>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</si>
  <si>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</si>
  <si>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</si>
  <si>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</si>
  <si>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</si>
  <si>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</si>
  <si>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</si>
  <si>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</si>
  <si>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</si>
  <si>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</si>
  <si>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</si>
  <si>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</si>
  <si>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</si>
  <si>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</si>
  <si>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</si>
  <si>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</si>
  <si>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</si>
  <si>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</si>
  <si>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</si>
  <si>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</si>
  <si>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</si>
  <si>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</si>
  <si>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</si>
  <si>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</si>
  <si>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</si>
  <si>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</si>
  <si>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</si>
  <si>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</si>
  <si>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</si>
  <si>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</si>
  <si>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</si>
  <si>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</si>
  <si>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</si>
  <si>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</si>
  <si>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</si>
  <si>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</si>
  <si>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</si>
  <si>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</si>
  <si>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</si>
  <si>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</si>
  <si>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</si>
  <si>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</si>
  <si>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</si>
  <si>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</si>
  <si>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</si>
  <si>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</si>
  <si>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</si>
  <si>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</si>
  <si>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</si>
  <si>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</si>
  <si>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</si>
  <si>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</si>
  <si>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</si>
  <si>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</si>
  <si>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</si>
  <si>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</si>
  <si>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</si>
  <si>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</si>
  <si>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</si>
  <si>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</si>
  <si>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</si>
  <si>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</si>
  <si>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</si>
  <si>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</si>
  <si>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</si>
  <si>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</si>
  <si>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</si>
  <si>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</si>
  <si>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</si>
  <si>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</si>
  <si>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</si>
  <si>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</si>
  <si>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</si>
  <si>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</si>
  <si>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</si>
  <si>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</si>
  <si>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</si>
  <si>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</si>
  <si>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</si>
  <si>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</si>
  <si>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</si>
  <si>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</si>
  <si>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</si>
  <si>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</si>
  <si>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</si>
  <si>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</si>
  <si>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</si>
  <si>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</si>
  <si>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</si>
  <si>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</si>
  <si>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</si>
  <si>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</si>
  <si>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</si>
  <si>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</si>
  <si>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</si>
  <si>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</si>
  <si>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</si>
  <si>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</si>
  <si>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</si>
  <si>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</si>
  <si>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</si>
  <si>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</si>
  <si>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</si>
  <si>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</si>
  <si>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</si>
  <si>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</si>
  <si>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</si>
  <si>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</si>
  <si>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</si>
  <si>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</si>
  <si>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</si>
  <si>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</si>
  <si>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</si>
  <si>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</si>
  <si>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</si>
  <si>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</si>
  <si>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</si>
  <si>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</si>
  <si>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</si>
  <si>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</si>
  <si>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</si>
  <si>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</si>
  <si>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</si>
  <si>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</si>
  <si>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</si>
  <si>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</si>
  <si>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</si>
  <si>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</si>
  <si>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</si>
  <si>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</si>
  <si>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</si>
  <si>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</si>
  <si>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</si>
  <si>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</si>
  <si>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</si>
  <si>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</si>
  <si>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</si>
  <si>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</si>
  <si>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</si>
  <si>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</si>
  <si>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</si>
  <si>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</si>
  <si>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</si>
  <si>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</si>
  <si>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</si>
  <si>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</si>
  <si>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</si>
  <si>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</si>
  <si>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</si>
  <si>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</si>
  <si>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</si>
  <si>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</si>
  <si>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</si>
  <si>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</si>
  <si>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</si>
  <si>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</si>
  <si>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</si>
  <si>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</si>
  <si>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</si>
  <si>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</si>
  <si>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</si>
  <si>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</si>
  <si>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</si>
  <si>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</si>
  <si>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</si>
  <si>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</si>
  <si>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</si>
  <si>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</si>
  <si>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</si>
  <si>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</si>
  <si>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</si>
  <si>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</si>
  <si>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</si>
  <si>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</si>
  <si>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</si>
  <si>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</si>
  <si>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</si>
  <si>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</si>
  <si>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</si>
  <si>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</si>
  <si>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</si>
  <si>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</si>
  <si>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</si>
  <si>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</si>
  <si>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</si>
  <si>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</si>
  <si>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</si>
  <si>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</si>
  <si>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</si>
  <si>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</si>
  <si>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</si>
  <si>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</si>
  <si>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</si>
  <si>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</si>
  <si>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</si>
  <si>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</si>
  <si>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</si>
  <si>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</si>
  <si>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</si>
  <si>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</si>
  <si>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</si>
  <si>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</si>
  <si>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</si>
  <si>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</si>
  <si>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</si>
  <si>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</si>
  <si>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</si>
  <si>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</si>
  <si>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</si>
  <si>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</si>
  <si>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</si>
  <si>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</si>
  <si>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</si>
  <si>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</si>
  <si>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</si>
  <si>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</si>
  <si>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</si>
  <si>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</si>
  <si>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</si>
  <si>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</si>
  <si>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</si>
  <si>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</si>
  <si>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</si>
  <si>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</si>
  <si>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</si>
  <si>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</si>
  <si>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</si>
  <si>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</si>
  <si>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</si>
  <si>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</si>
  <si>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</si>
  <si>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</si>
  <si>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</si>
  <si>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</si>
  <si>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</si>
  <si>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</si>
  <si>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</si>
  <si>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</si>
  <si>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</si>
  <si>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</si>
  <si>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</si>
  <si>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</si>
  <si>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</si>
  <si>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</si>
  <si>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</si>
  <si>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</si>
  <si>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</si>
  <si>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</si>
  <si>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</si>
  <si>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</si>
  <si>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</si>
  <si>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</si>
  <si>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</si>
  <si>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</si>
  <si>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</si>
  <si>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</si>
  <si>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</si>
  <si>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</si>
  <si>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</si>
  <si>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</si>
  <si>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</si>
  <si>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</si>
  <si>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</si>
  <si>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</si>
  <si>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</si>
  <si>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</si>
  <si>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</si>
  <si>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</si>
  <si>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</si>
  <si>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</si>
  <si>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</si>
  <si>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</si>
  <si>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</si>
  <si>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</si>
  <si>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</si>
  <si>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</si>
  <si>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</si>
  <si>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</si>
  <si>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</si>
  <si>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</si>
  <si>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</si>
  <si>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</si>
  <si>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</si>
  <si>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</si>
  <si>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</si>
  <si>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</si>
  <si>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</si>
  <si>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</si>
  <si>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</si>
  <si>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</si>
  <si>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</si>
  <si>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</si>
  <si>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</si>
  <si>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</si>
  <si>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</si>
  <si>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</si>
  <si>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</si>
  <si>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</si>
  <si>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</si>
  <si>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</si>
  <si>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</si>
  <si>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</si>
  <si>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</si>
  <si>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</si>
  <si>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</si>
  <si>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</si>
  <si>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</si>
  <si>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</si>
  <si>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</si>
  <si>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</si>
  <si>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</si>
  <si>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</si>
  <si>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</si>
  <si>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</si>
  <si>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</si>
  <si>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</si>
  <si>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</si>
  <si>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</si>
  <si>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</si>
  <si>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</si>
  <si>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</si>
  <si>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</si>
  <si>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</si>
  <si>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</si>
  <si>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</si>
  <si>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</si>
  <si>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</si>
  <si>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</si>
  <si>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</si>
  <si>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</si>
  <si>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</si>
  <si>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</si>
  <si>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</si>
  <si>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</si>
  <si>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</si>
  <si>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</si>
  <si>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</si>
  <si>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</si>
  <si>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</si>
  <si>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</si>
  <si>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</si>
  <si>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</si>
  <si>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</si>
  <si>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</si>
  <si>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</si>
  <si>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</si>
  <si>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</si>
  <si>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</si>
  <si>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</si>
  <si>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</si>
  <si>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</si>
  <si>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</si>
  <si>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</si>
  <si>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</si>
  <si>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</si>
  <si>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</si>
  <si>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</si>
  <si>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</si>
  <si>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</si>
  <si>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</si>
  <si>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</si>
  <si>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</si>
  <si>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</si>
  <si>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</si>
  <si>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</si>
  <si>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</si>
  <si>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</si>
  <si>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</si>
  <si>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</si>
  <si>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</si>
  <si>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</si>
  <si>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</si>
  <si>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</si>
  <si>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</si>
  <si>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</si>
  <si>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</si>
  <si>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</si>
  <si>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</si>
  <si>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</si>
  <si>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</si>
  <si>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</si>
  <si>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</si>
  <si>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</si>
  <si>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</si>
  <si>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</si>
  <si>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</si>
  <si>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</si>
  <si>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</si>
  <si>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</si>
  <si>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</si>
  <si>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</si>
  <si>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</si>
  <si>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</si>
  <si>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</si>
  <si>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</si>
  <si>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</si>
  <si>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</si>
  <si>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</si>
  <si>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</si>
  <si>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</si>
  <si>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</si>
  <si>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</si>
  <si>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</si>
  <si>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</si>
  <si>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</si>
  <si>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</si>
  <si>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</si>
  <si>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</si>
  <si>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</si>
  <si>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</si>
  <si>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</si>
  <si>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</si>
  <si>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</si>
  <si>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</si>
  <si>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</si>
  <si>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</si>
  <si>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</si>
  <si>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</si>
  <si>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</si>
  <si>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</si>
  <si>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</si>
  <si>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</si>
  <si>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</si>
  <si>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</si>
  <si>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</si>
  <si>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</si>
  <si>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</si>
  <si>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</si>
  <si>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</si>
  <si>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</si>
  <si>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</si>
  <si>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</si>
  <si>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</si>
  <si>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</si>
  <si>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</si>
  <si>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</si>
  <si>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</si>
  <si>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</si>
  <si>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</si>
  <si>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</si>
  <si>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</si>
  <si>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</si>
  <si>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</si>
  <si>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</si>
  <si>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</si>
  <si>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</si>
  <si>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</si>
  <si>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</si>
  <si>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</si>
  <si>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</si>
  <si>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</si>
  <si>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</si>
  <si>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</si>
  <si>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</si>
  <si>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</si>
  <si>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</si>
  <si>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</si>
  <si>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</si>
  <si>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</si>
  <si>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</si>
  <si>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</si>
  <si>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</si>
  <si>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</si>
  <si>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</si>
  <si>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</si>
  <si>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</si>
  <si>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</si>
  <si>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</si>
  <si>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</si>
  <si>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</si>
  <si>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</si>
  <si>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</si>
  <si>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</si>
  <si>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</si>
  <si>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</si>
  <si>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</si>
  <si>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</si>
  <si>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</si>
  <si>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</si>
  <si>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</si>
  <si>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</si>
  <si>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</si>
  <si>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</si>
  <si>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</si>
  <si>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</si>
  <si>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</si>
  <si>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</si>
  <si>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</si>
  <si>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</si>
  <si>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</si>
  <si>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</si>
  <si>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</si>
  <si>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</si>
  <si>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</si>
  <si>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</si>
  <si>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</si>
  <si>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</si>
  <si>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</si>
  <si>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</si>
  <si>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</si>
  <si>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</si>
  <si>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</si>
  <si>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</si>
  <si>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</si>
  <si>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</si>
  <si>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</si>
  <si>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</si>
  <si>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</si>
  <si>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</si>
  <si>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</si>
  <si>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</si>
  <si>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</si>
  <si>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</si>
  <si>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</si>
  <si>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</si>
  <si>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</si>
  <si>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</si>
  <si>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</si>
  <si>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</si>
  <si>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</si>
  <si>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</si>
  <si>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</si>
  <si>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</si>
  <si>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</si>
  <si>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</si>
  <si>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</si>
  <si>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</si>
  <si>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</si>
  <si>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</si>
  <si>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</si>
  <si>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</si>
  <si>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</si>
  <si>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</si>
  <si>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</si>
  <si>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</si>
  <si>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</si>
  <si>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</si>
  <si>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</si>
  <si>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</si>
  <si>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</si>
  <si>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</si>
  <si>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</si>
  <si>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</si>
  <si>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</si>
  <si>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</si>
  <si>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</si>
  <si>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</si>
  <si>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</si>
  <si>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</si>
  <si>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</si>
  <si>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</si>
  <si>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</si>
  <si>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</si>
  <si>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</si>
  <si>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</si>
  <si>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</si>
  <si>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</si>
  <si>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</si>
  <si>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</si>
  <si>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</si>
  <si>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</si>
  <si>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</si>
  <si>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</si>
  <si>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</si>
  <si>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</si>
  <si>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</si>
  <si>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</si>
  <si>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</si>
  <si>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</si>
  <si>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</si>
  <si>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</si>
  <si>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</si>
  <si>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</si>
  <si>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</si>
  <si>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</si>
  <si>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</si>
  <si>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</si>
  <si>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</si>
  <si>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</si>
  <si>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</si>
  <si>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</si>
  <si>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</si>
  <si>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</si>
  <si>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</si>
  <si>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</si>
  <si>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</si>
  <si>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</si>
  <si>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</si>
  <si>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</si>
  <si>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</si>
  <si>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</si>
  <si>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</si>
  <si>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</si>
  <si>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</si>
  <si>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</si>
  <si>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</si>
  <si>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</si>
  <si>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</si>
  <si>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</si>
  <si>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</si>
  <si>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</si>
  <si>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</si>
  <si>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</si>
  <si>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</si>
  <si>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</si>
  <si>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</si>
  <si>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</si>
  <si>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</si>
  <si>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</si>
  <si>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</si>
  <si>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</si>
  <si>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</si>
  <si>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</si>
  <si>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</si>
  <si>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</si>
  <si>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</si>
  <si>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</si>
  <si>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</si>
  <si>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</si>
  <si>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</si>
  <si>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</si>
  <si>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</si>
  <si>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</si>
  <si>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</si>
  <si>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</si>
  <si>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</si>
  <si>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</si>
  <si>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</si>
  <si>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</si>
  <si>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</si>
  <si>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</si>
  <si>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</si>
  <si>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</si>
  <si>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</si>
  <si>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</si>
  <si>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</si>
  <si>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</si>
  <si>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</si>
  <si>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</si>
  <si>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</si>
  <si>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</si>
  <si>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</si>
  <si>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</si>
  <si>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</si>
  <si>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</si>
  <si>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</si>
  <si>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</si>
  <si>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</si>
  <si>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</si>
  <si>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</si>
  <si>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</si>
  <si>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</si>
  <si>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</si>
  <si>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</si>
  <si>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</si>
  <si>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</si>
  <si>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</si>
  <si>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</si>
  <si>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</si>
  <si>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</si>
  <si>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</si>
  <si>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</si>
  <si>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</si>
  <si>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</si>
  <si>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</si>
  <si>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</si>
  <si>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</si>
  <si>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</si>
  <si>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</si>
  <si>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</si>
  <si>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</si>
  <si>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</si>
  <si>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</si>
  <si>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</si>
  <si>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</si>
  <si>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</si>
  <si>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</si>
  <si>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</si>
  <si>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</si>
  <si>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</si>
  <si>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</si>
  <si>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</si>
  <si>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</si>
  <si>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</si>
  <si>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</si>
  <si>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</si>
  <si>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</si>
  <si>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</si>
  <si>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</si>
  <si>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</si>
  <si>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</si>
  <si>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</si>
  <si>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</si>
  <si>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</si>
  <si>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</si>
  <si>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</si>
  <si>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</si>
  <si>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</si>
  <si>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</si>
  <si>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</si>
  <si>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</si>
  <si>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</si>
  <si>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</si>
  <si>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</si>
  <si>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</si>
  <si>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</si>
  <si>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</si>
  <si>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</si>
  <si>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</si>
  <si>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</si>
  <si>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</si>
  <si>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</si>
  <si>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</si>
  <si>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</si>
  <si>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</si>
  <si>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</si>
  <si>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</si>
  <si>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</si>
  <si>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</si>
  <si>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</si>
  <si>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</si>
  <si>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</si>
  <si>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</si>
  <si>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</si>
  <si>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</si>
  <si>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</si>
  <si>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</si>
  <si>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</si>
  <si>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</si>
  <si>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</si>
  <si>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</si>
  <si>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</si>
  <si>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</si>
  <si>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</si>
  <si>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</si>
  <si>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</si>
  <si>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</si>
  <si>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</si>
  <si>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</si>
  <si>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</si>
  <si>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</si>
  <si>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</si>
  <si>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</si>
  <si>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</si>
  <si>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</si>
  <si>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</si>
  <si>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</si>
  <si>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</si>
  <si>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</si>
  <si>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</si>
  <si>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</si>
  <si>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</si>
  <si>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</si>
  <si>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</si>
  <si>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</si>
  <si>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</si>
  <si>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</si>
  <si>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</si>
  <si>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</si>
  <si>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</si>
  <si>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</si>
  <si>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</si>
  <si>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</si>
  <si>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</si>
  <si>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</si>
  <si>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</si>
  <si>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</si>
  <si>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</si>
  <si>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</si>
  <si>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</si>
  <si>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</si>
  <si>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</si>
  <si>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</si>
  <si>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</si>
  <si>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</si>
  <si>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</si>
  <si>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</si>
  <si>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</si>
  <si>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</si>
  <si>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</si>
  <si>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</si>
  <si>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</si>
  <si>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</si>
  <si>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</si>
  <si>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</si>
  <si>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</si>
  <si>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</si>
  <si>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</si>
  <si>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</si>
  <si>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</si>
  <si>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</si>
  <si>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</si>
  <si>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</si>
  <si>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</si>
  <si>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</si>
  <si>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</si>
  <si>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</si>
  <si>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</si>
  <si>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</si>
  <si>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</si>
  <si>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</si>
  <si>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</si>
  <si>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</si>
  <si>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</si>
  <si>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</si>
  <si>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</si>
  <si>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</si>
  <si>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</si>
  <si>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</si>
  <si>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</si>
  <si>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</si>
  <si>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</si>
  <si>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</si>
  <si>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</si>
  <si>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</si>
  <si>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</si>
  <si>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</si>
  <si>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</si>
  <si>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</si>
  <si>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</si>
  <si>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</si>
  <si>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</si>
  <si>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</si>
  <si>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</si>
  <si>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</si>
  <si>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</si>
  <si>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</si>
  <si>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</si>
  <si>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</si>
  <si>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</si>
  <si>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</si>
  <si>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</si>
  <si>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</si>
  <si>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</si>
  <si>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</si>
  <si>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</si>
  <si>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</si>
  <si>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</si>
  <si>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</si>
  <si>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</si>
  <si>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</si>
  <si>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</si>
  <si>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</si>
  <si>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</si>
  <si>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</si>
  <si>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</si>
  <si>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</si>
  <si>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</si>
  <si>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</si>
  <si>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</si>
  <si>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</si>
  <si>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</si>
  <si>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</si>
  <si>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</si>
  <si>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</si>
  <si>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</si>
  <si>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</si>
  <si>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</si>
  <si>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</si>
  <si>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</si>
  <si>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</si>
  <si>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</si>
  <si>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</si>
  <si>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</si>
  <si>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</si>
  <si>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</si>
  <si>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</si>
  <si>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</si>
  <si>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</si>
  <si>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</si>
  <si>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</si>
  <si>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</si>
  <si>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</si>
  <si>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</si>
  <si>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</si>
  <si>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</si>
  <si>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</si>
  <si>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</si>
  <si>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</si>
  <si>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</si>
  <si>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</si>
  <si>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</si>
  <si>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</si>
  <si>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</si>
  <si>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</si>
  <si>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</si>
  <si>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</si>
  <si>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</si>
  <si>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</si>
  <si>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</si>
  <si>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</si>
  <si>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</si>
  <si>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</si>
  <si>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</si>
  <si>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</si>
  <si>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</si>
  <si>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</si>
  <si>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</si>
  <si>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</si>
  <si>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</si>
  <si>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</si>
  <si>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</si>
  <si>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</si>
  <si>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</si>
  <si>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</si>
  <si>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</si>
  <si>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</si>
  <si>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</si>
  <si>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</si>
  <si>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</si>
  <si>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</si>
  <si>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</si>
  <si>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</si>
  <si>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</si>
  <si>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</si>
  <si>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</si>
  <si>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</si>
  <si>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</si>
  <si>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</si>
  <si>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</si>
  <si>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</si>
  <si>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</si>
  <si>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</si>
  <si>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</si>
  <si>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</si>
  <si>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</si>
  <si>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</si>
  <si>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</si>
  <si>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</si>
  <si>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</si>
  <si>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</si>
  <si>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</si>
  <si>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</si>
  <si>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</si>
  <si>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</si>
  <si>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</si>
  <si>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</si>
  <si>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</si>
  <si>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</si>
  <si>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</si>
  <si>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</si>
  <si>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</si>
  <si>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</si>
  <si>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</si>
  <si>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</si>
  <si>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</si>
  <si>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</si>
  <si>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</si>
  <si>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</si>
  <si>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</si>
  <si>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</si>
  <si>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</si>
  <si>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</si>
  <si>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</si>
  <si>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</si>
  <si>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</si>
  <si>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</si>
  <si>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</si>
  <si>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</si>
  <si>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</si>
  <si>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</si>
  <si>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</si>
  <si>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</si>
  <si>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</si>
  <si>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</si>
  <si>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</si>
  <si>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</si>
  <si>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</si>
  <si>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</si>
  <si>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</si>
  <si>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</si>
  <si>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</si>
  <si>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</si>
  <si>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</si>
  <si>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</si>
  <si>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</si>
  <si>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</si>
  <si>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</si>
  <si>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</si>
  <si>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</si>
  <si>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</si>
  <si>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</si>
  <si>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</si>
  <si>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</si>
  <si>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</si>
  <si>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</si>
  <si>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</si>
  <si>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</si>
  <si>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</si>
  <si>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</si>
  <si>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</si>
  <si>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</si>
  <si>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</si>
  <si>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</si>
  <si>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</si>
  <si>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</si>
  <si>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</si>
  <si>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</si>
  <si>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</si>
  <si>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</si>
  <si>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</si>
  <si>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</si>
  <si>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</si>
  <si>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</si>
  <si>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</si>
  <si>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</si>
  <si>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</si>
  <si>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</si>
  <si>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</si>
  <si>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</si>
  <si>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</si>
  <si>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</si>
  <si>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</si>
  <si>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</si>
  <si>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</si>
  <si>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</si>
  <si>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</si>
  <si>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</si>
  <si>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</si>
  <si>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</si>
  <si>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</si>
  <si>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</si>
  <si>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</si>
  <si>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</si>
  <si>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</si>
  <si>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</si>
  <si>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</si>
  <si>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</si>
  <si>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</si>
  <si>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</si>
  <si>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</si>
  <si>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</si>
  <si>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</si>
  <si>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</si>
  <si>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</si>
  <si>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</si>
  <si>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</si>
  <si>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</si>
  <si>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</si>
  <si>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</si>
  <si>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</si>
  <si>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</si>
  <si>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</si>
  <si>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</si>
  <si>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</si>
  <si>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</si>
  <si>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</si>
  <si>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</si>
  <si>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</si>
  <si>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</si>
  <si>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</si>
  <si>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</si>
  <si>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</si>
  <si>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</si>
  <si>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</si>
  <si>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</si>
  <si>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</si>
  <si>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</si>
  <si>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</si>
  <si>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</si>
  <si>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</si>
  <si>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</si>
  <si>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</si>
  <si>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</si>
  <si>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</si>
  <si>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</si>
  <si>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</si>
  <si>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</si>
  <si>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</si>
  <si>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</si>
  <si>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</si>
  <si>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</si>
  <si>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</si>
  <si>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</si>
  <si>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</si>
  <si>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</si>
  <si>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</si>
  <si>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</si>
  <si>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</si>
  <si>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</si>
  <si>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</si>
  <si>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</si>
  <si>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</si>
  <si>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</si>
  <si>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</si>
  <si>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</si>
  <si>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</si>
  <si>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</si>
  <si>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</si>
  <si>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</si>
  <si>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</si>
  <si>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</si>
  <si>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</si>
  <si>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</si>
  <si>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</si>
  <si>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</si>
  <si>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</si>
  <si>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</si>
  <si>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</si>
  <si>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</si>
  <si>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</si>
  <si>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</si>
  <si>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</si>
  <si>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</si>
  <si>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</si>
  <si>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</si>
  <si>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</si>
  <si>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</si>
  <si>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</si>
  <si>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</si>
  <si>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</si>
  <si>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</si>
  <si>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</si>
  <si>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</si>
  <si>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</si>
  <si>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</si>
  <si>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</si>
  <si>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</si>
  <si>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</si>
  <si>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</si>
  <si>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</si>
  <si>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</si>
  <si>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</si>
  <si>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</si>
  <si>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</si>
  <si>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</si>
  <si>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</si>
  <si>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</si>
  <si>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</si>
  <si>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</si>
  <si>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</si>
  <si>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</si>
  <si>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</si>
  <si>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</si>
  <si>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</si>
  <si>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</si>
  <si>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</si>
  <si>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</si>
  <si>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</si>
  <si>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</si>
  <si>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</si>
  <si>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</si>
  <si>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</si>
  <si>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</si>
  <si>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</si>
  <si>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</si>
  <si>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</si>
  <si>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</si>
  <si>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</si>
  <si>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</si>
  <si>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</si>
  <si>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</si>
  <si>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</si>
  <si>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</si>
  <si>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</si>
  <si>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</si>
  <si>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</si>
  <si>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</si>
  <si>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</si>
  <si>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</si>
  <si>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</si>
  <si>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</si>
  <si>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</si>
  <si>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</si>
  <si>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</si>
  <si>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</si>
  <si>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</si>
  <si>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</si>
  <si>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</si>
  <si>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</si>
  <si>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</si>
  <si>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</si>
  <si>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</si>
  <si>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</si>
  <si>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</si>
  <si>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</si>
  <si>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</si>
  <si>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</si>
  <si>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</si>
  <si>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</si>
  <si>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</si>
  <si>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</si>
  <si>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</si>
  <si>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</si>
  <si>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</si>
  <si>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</si>
  <si>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</si>
  <si>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</si>
  <si>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</si>
  <si>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</si>
  <si>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</si>
  <si>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</si>
  <si>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</si>
  <si>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</si>
  <si>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</si>
  <si>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</si>
  <si>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</si>
  <si>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</si>
  <si>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</si>
  <si>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</si>
  <si>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</si>
  <si>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</si>
  <si>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</si>
  <si>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</si>
  <si>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</si>
  <si>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</si>
  <si>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</si>
  <si>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</si>
  <si>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</si>
  <si>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</si>
  <si>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</si>
  <si>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</si>
  <si>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</si>
  <si>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</si>
  <si>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</si>
  <si>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</si>
  <si>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</si>
  <si>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</si>
  <si>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</si>
  <si>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</si>
  <si>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</si>
  <si>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</si>
  <si>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</si>
  <si>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</si>
  <si>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</si>
  <si>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</si>
  <si>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</si>
  <si>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</si>
  <si>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</si>
  <si>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</si>
  <si>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</si>
  <si>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</si>
  <si>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</si>
  <si>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</si>
  <si>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</si>
  <si>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</si>
  <si>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</si>
  <si>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</si>
  <si>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</si>
  <si>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</si>
  <si>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</si>
  <si>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</si>
  <si>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</si>
  <si>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</si>
  <si>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</si>
  <si>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</si>
  <si>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</si>
  <si>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</si>
  <si>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</si>
  <si>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</si>
  <si>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</si>
  <si>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</si>
  <si>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</si>
  <si>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</si>
  <si>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</si>
  <si>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</si>
  <si>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</si>
  <si>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</si>
  <si>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</si>
  <si>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</si>
  <si>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</si>
  <si>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</si>
  <si>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</si>
  <si>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</si>
  <si>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</si>
  <si>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</si>
  <si>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</si>
  <si>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</si>
  <si>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</si>
  <si>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</si>
  <si>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</si>
  <si>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</si>
  <si>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</si>
  <si>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</si>
  <si>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</si>
  <si>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</si>
  <si>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</si>
  <si>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</si>
  <si>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</si>
  <si>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</si>
  <si>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</si>
  <si>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</si>
  <si>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</si>
  <si>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</si>
  <si>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</si>
  <si>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</si>
  <si>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</si>
  <si>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</si>
  <si>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</si>
  <si>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</si>
  <si>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</si>
  <si>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</si>
  <si>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</si>
  <si>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</si>
  <si>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</si>
  <si>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</si>
  <si>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</si>
  <si>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</si>
  <si>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</si>
  <si>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</si>
  <si>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</si>
  <si>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</si>
  <si>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</si>
  <si>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</si>
  <si>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</si>
  <si>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</si>
  <si>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</si>
  <si>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</si>
  <si>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</si>
  <si>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</si>
  <si>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</si>
  <si>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</si>
  <si>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</si>
  <si>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</si>
  <si>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</si>
  <si>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</si>
  <si>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</si>
  <si>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</si>
  <si>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</si>
  <si>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</si>
  <si>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</si>
  <si>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</si>
  <si>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</si>
  <si>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</si>
  <si>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</si>
  <si>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</si>
  <si>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</si>
  <si>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</si>
  <si>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</si>
  <si>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</si>
  <si>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</si>
  <si>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</si>
  <si>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</si>
  <si>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</si>
  <si>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</si>
  <si>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</si>
  <si>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</si>
  <si>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</si>
  <si>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</si>
  <si>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</si>
  <si>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</si>
  <si>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</si>
  <si>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</si>
  <si>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</si>
  <si>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</si>
  <si>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</si>
  <si>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</si>
  <si>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</si>
  <si>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</si>
  <si>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</si>
  <si>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</si>
  <si>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</si>
  <si>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</si>
  <si>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</si>
  <si>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</si>
  <si>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</si>
  <si>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</si>
  <si>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</si>
  <si>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</si>
  <si>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</si>
  <si>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</si>
  <si>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</si>
  <si>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</si>
  <si>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</si>
  <si>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</si>
  <si>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</si>
  <si>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</si>
  <si>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</si>
  <si>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</si>
  <si>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</si>
  <si>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</si>
  <si>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</si>
  <si>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</si>
  <si>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</si>
  <si>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</si>
  <si>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</si>
  <si>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</si>
  <si>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</si>
  <si>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</si>
  <si>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</si>
  <si>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</si>
  <si>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</si>
  <si>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</si>
  <si>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</si>
  <si>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</si>
  <si>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</si>
  <si>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</si>
  <si>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</si>
  <si>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</si>
  <si>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</si>
  <si>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</si>
  <si>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</si>
  <si>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</si>
  <si>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</si>
  <si>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</si>
  <si>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</si>
  <si>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</si>
  <si>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</si>
  <si>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</si>
  <si>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</si>
  <si>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</si>
  <si>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</si>
  <si>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</si>
  <si>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</si>
  <si>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</si>
  <si>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</si>
  <si>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</si>
  <si>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</si>
  <si>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</si>
  <si>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</si>
  <si>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</si>
  <si>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</si>
  <si>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</si>
  <si>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</si>
  <si>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</si>
  <si>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</si>
  <si>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</si>
  <si>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</si>
  <si>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</si>
  <si>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</si>
  <si>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</si>
  <si>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</si>
  <si>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</si>
  <si>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</si>
  <si>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</si>
  <si>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</si>
  <si>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</si>
  <si>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</si>
  <si>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</si>
  <si>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</si>
  <si>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</si>
  <si>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</si>
  <si>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</si>
  <si>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</si>
  <si>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</si>
  <si>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</si>
  <si>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</si>
  <si>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</si>
  <si>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</si>
  <si>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</si>
  <si>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</si>
  <si>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</si>
  <si>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</si>
  <si>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</si>
  <si>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</si>
  <si>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</si>
  <si>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</si>
  <si>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</si>
  <si>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</si>
  <si>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</si>
  <si>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</si>
  <si>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</si>
  <si>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</si>
  <si>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</si>
  <si>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</si>
  <si>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</si>
  <si>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</si>
  <si>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</si>
  <si>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</si>
  <si>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</si>
  <si>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</si>
  <si>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</si>
  <si>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</si>
  <si>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</si>
  <si>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</si>
  <si>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</si>
  <si>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</si>
  <si>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</si>
  <si>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</si>
  <si>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</si>
  <si>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</si>
  <si>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</si>
  <si>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</si>
  <si>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</si>
  <si>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</si>
  <si>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</si>
  <si>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</si>
  <si>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</si>
  <si>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</si>
  <si>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</si>
  <si>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</si>
  <si>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</si>
  <si>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</si>
  <si>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</si>
  <si>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</si>
  <si>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</si>
  <si>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</si>
  <si>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</si>
  <si>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</si>
  <si>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</si>
  <si>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</si>
  <si>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</si>
  <si>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</si>
  <si>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</si>
  <si>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</si>
  <si>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</si>
  <si>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</si>
  <si>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</si>
  <si>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</si>
  <si>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</si>
  <si>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</si>
  <si>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</si>
  <si>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</si>
  <si>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</si>
  <si>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</si>
  <si>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</si>
  <si>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</si>
  <si>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</si>
  <si>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</si>
  <si>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</si>
  <si>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</si>
  <si>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</si>
  <si>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</si>
  <si>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</si>
  <si>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</si>
  <si>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</si>
  <si>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</si>
  <si>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</si>
  <si>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</si>
  <si>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</si>
  <si>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</si>
  <si>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</si>
  <si>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</si>
  <si>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</si>
  <si>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</si>
  <si>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</si>
  <si>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</si>
  <si>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</si>
  <si>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</si>
  <si>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</si>
  <si>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</si>
  <si>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</si>
  <si>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</si>
  <si>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</si>
  <si>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</si>
  <si>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</si>
  <si>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</si>
  <si>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</si>
  <si>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</si>
  <si>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</si>
  <si>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</si>
  <si>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</si>
  <si>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</si>
  <si>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</si>
  <si>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</si>
  <si>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</si>
  <si>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</si>
  <si>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</si>
  <si>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</si>
  <si>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</si>
  <si>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</si>
  <si>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</si>
  <si>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</si>
  <si>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</si>
  <si>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</si>
  <si>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</si>
  <si>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</si>
  <si>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</si>
  <si>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</si>
  <si>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</si>
  <si>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</si>
  <si>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</si>
  <si>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</si>
  <si>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</si>
  <si>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</si>
  <si>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</si>
  <si>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</si>
  <si>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</si>
  <si>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</si>
  <si>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</si>
  <si>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</si>
  <si>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</si>
  <si>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</si>
  <si>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</si>
  <si>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</si>
  <si>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</si>
  <si>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</si>
  <si>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</si>
  <si>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</si>
  <si>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</si>
  <si>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</si>
  <si>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</si>
  <si>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</si>
  <si>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</si>
  <si>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</si>
  <si>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</si>
  <si>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</si>
  <si>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</si>
  <si>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</si>
  <si>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</si>
  <si>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</si>
  <si>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</si>
  <si>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</si>
  <si>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</si>
  <si>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</si>
  <si>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</si>
  <si>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</si>
  <si>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</si>
  <si>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</si>
  <si>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</si>
  <si>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</si>
  <si>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</si>
  <si>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</si>
  <si>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</si>
  <si>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</si>
  <si>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</si>
  <si>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</si>
  <si>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</si>
  <si>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</si>
  <si>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</si>
  <si>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</si>
  <si>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</si>
  <si>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</si>
  <si>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</si>
  <si>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</si>
  <si>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</si>
  <si>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</si>
  <si>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</si>
  <si>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</si>
  <si>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</si>
  <si>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</si>
  <si>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</si>
  <si>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</si>
  <si>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</si>
  <si>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</si>
  <si>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</si>
  <si>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</si>
  <si>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</si>
  <si>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</si>
  <si>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</si>
  <si>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</si>
  <si>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</si>
  <si>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</si>
  <si>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</si>
  <si>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</si>
  <si>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</si>
  <si>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</si>
  <si>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</si>
  <si>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</si>
  <si>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</si>
  <si>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</si>
  <si>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</si>
  <si>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</si>
  <si>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</si>
  <si>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</si>
  <si>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</si>
  <si>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</si>
  <si>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</si>
  <si>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</si>
  <si>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</si>
  <si>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</si>
  <si>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</si>
  <si>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</si>
  <si>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</si>
  <si>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</si>
  <si>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</si>
  <si>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</si>
  <si>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</si>
  <si>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</si>
  <si>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</si>
  <si>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</si>
  <si>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</si>
  <si>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</si>
  <si>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</si>
  <si>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</si>
  <si>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</si>
  <si>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</si>
  <si>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</si>
  <si>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</si>
  <si>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</si>
  <si>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</si>
  <si>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</si>
  <si>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</si>
  <si>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</si>
  <si>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</si>
  <si>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</si>
  <si>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</si>
  <si>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</si>
  <si>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</si>
  <si>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</si>
  <si>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</si>
  <si>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</si>
  <si>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</si>
  <si>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</si>
  <si>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</si>
  <si>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</si>
  <si>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</si>
  <si>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</si>
  <si>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</si>
  <si>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</si>
  <si>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</si>
  <si>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</si>
  <si>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</si>
  <si>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</si>
  <si>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</si>
  <si>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</si>
  <si>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</si>
  <si>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</si>
  <si>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</si>
  <si>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</si>
  <si>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</si>
  <si>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</si>
  <si>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</si>
  <si>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</si>
  <si>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</si>
  <si>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</si>
  <si>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</si>
  <si>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</si>
  <si>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</si>
  <si>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</si>
  <si>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</si>
  <si>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</si>
  <si>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</si>
  <si>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</si>
  <si>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</si>
  <si>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</si>
  <si>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</si>
  <si>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</si>
  <si>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</si>
  <si>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</si>
  <si>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</si>
  <si>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</si>
  <si>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</si>
  <si>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</si>
  <si>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</si>
  <si>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</si>
  <si>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</si>
  <si>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</si>
  <si>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</si>
  <si>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</si>
  <si>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</si>
  <si>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</si>
  <si>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</si>
  <si>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</si>
  <si>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</si>
  <si>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</si>
  <si>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</si>
  <si>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</si>
  <si>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</si>
  <si>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</si>
  <si>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</si>
  <si>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</si>
  <si>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</si>
  <si>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</si>
  <si>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</si>
  <si>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</si>
  <si>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</si>
  <si>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</si>
  <si>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</si>
  <si>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</si>
  <si>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</si>
  <si>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</si>
  <si>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</si>
  <si>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</si>
  <si>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</si>
  <si>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</si>
  <si>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</si>
  <si>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</si>
  <si>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</si>
  <si>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</si>
  <si>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</si>
  <si>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</si>
  <si>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</si>
  <si>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</si>
  <si>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</si>
  <si>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</si>
  <si>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</si>
  <si>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</si>
  <si>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</si>
  <si>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</si>
  <si>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</si>
  <si>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</si>
  <si>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</si>
  <si>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</si>
  <si>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</si>
  <si>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</si>
  <si>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</si>
  <si>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</si>
  <si>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</si>
  <si>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</si>
  <si>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</si>
  <si>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</si>
  <si>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</si>
  <si>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</si>
  <si>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</si>
  <si>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</si>
  <si>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</si>
  <si>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</si>
  <si>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</si>
  <si>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</si>
  <si>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</si>
  <si>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</si>
  <si>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</si>
  <si>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</si>
  <si>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</si>
  <si>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</si>
  <si>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</si>
  <si>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</si>
  <si>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</si>
  <si>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</si>
  <si>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</si>
  <si>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</si>
  <si>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</si>
  <si>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</si>
  <si>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</si>
  <si>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</si>
  <si>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</si>
  <si>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</si>
  <si>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</si>
  <si>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</si>
  <si>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</si>
  <si>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</si>
  <si>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</si>
  <si>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</si>
  <si>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</si>
  <si>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</si>
  <si>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</si>
  <si>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</si>
  <si>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</si>
  <si>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</si>
  <si>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</si>
  <si>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</si>
  <si>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</si>
  <si>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</si>
  <si>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</si>
  <si>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</si>
  <si>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</si>
  <si>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</si>
  <si>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</si>
  <si>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</si>
  <si>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</si>
  <si>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</si>
  <si>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</si>
  <si>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</si>
  <si>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</si>
  <si>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</si>
  <si>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</si>
  <si>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</si>
  <si>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</si>
  <si>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</si>
  <si>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</si>
  <si>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</si>
  <si>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</si>
  <si>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</si>
  <si>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</si>
  <si>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</si>
  <si>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</si>
  <si>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</si>
  <si>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</si>
  <si>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</si>
  <si>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</si>
  <si>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</si>
  <si>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</si>
  <si>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</si>
  <si>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</si>
  <si>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</si>
  <si>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</si>
  <si>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</si>
  <si>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</si>
  <si>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</si>
  <si>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</si>
  <si>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</si>
  <si>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</si>
  <si>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</si>
  <si>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</si>
  <si>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</si>
  <si>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</si>
  <si>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</si>
  <si>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</si>
  <si>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</si>
  <si>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</si>
  <si>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</si>
  <si>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</si>
  <si>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</si>
  <si>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</si>
  <si>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</si>
  <si>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</si>
  <si>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</si>
  <si>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</si>
  <si>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</si>
  <si>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</si>
  <si>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</si>
  <si>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</si>
  <si>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</si>
  <si>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</si>
  <si>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</si>
  <si>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</si>
  <si>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</si>
  <si>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</si>
  <si>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</si>
  <si>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</si>
  <si>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</si>
  <si>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</si>
  <si>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</si>
  <si>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</si>
  <si>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</si>
  <si>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</si>
  <si>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</si>
  <si>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</si>
  <si>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</si>
  <si>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</si>
  <si>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</si>
  <si>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</si>
  <si>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</si>
  <si>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</si>
  <si>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</si>
  <si>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</si>
  <si>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</si>
  <si>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</si>
  <si>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</si>
  <si>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</si>
  <si>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</si>
  <si>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</si>
  <si>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</si>
  <si>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</si>
  <si>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</si>
  <si>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</si>
  <si>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</si>
  <si>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</si>
  <si>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</si>
  <si>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</si>
  <si>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</si>
  <si>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</si>
  <si>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</si>
  <si>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</si>
  <si>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</si>
  <si>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</si>
  <si>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</si>
  <si>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</si>
  <si>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</si>
  <si>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</si>
  <si>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</si>
  <si>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</si>
  <si>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</si>
  <si>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</si>
  <si>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</si>
  <si>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</si>
  <si>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</si>
  <si>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</si>
  <si>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</si>
  <si>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</si>
  <si>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</si>
  <si>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</si>
  <si>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</si>
  <si>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</si>
  <si>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</si>
  <si>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</si>
  <si>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</si>
  <si>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</si>
  <si>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</si>
  <si>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</si>
  <si>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</si>
  <si>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</si>
  <si>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</si>
  <si>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</si>
  <si>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</si>
  <si>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</si>
  <si>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</si>
  <si>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</si>
  <si>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</si>
  <si>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</si>
  <si>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</si>
  <si>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</si>
  <si>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</si>
  <si>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</si>
  <si>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</si>
  <si>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</si>
  <si>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</si>
  <si>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</si>
  <si>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</si>
  <si>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</si>
  <si>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</si>
  <si>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</si>
  <si>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</si>
  <si>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</si>
  <si>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</si>
  <si>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</si>
  <si>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</si>
  <si>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</si>
  <si>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</si>
  <si>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</si>
  <si>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</si>
  <si>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</si>
  <si>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</si>
  <si>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</si>
  <si>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</si>
  <si>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</si>
  <si>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</si>
  <si>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</si>
  <si>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</si>
  <si>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</si>
  <si>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</si>
  <si>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</si>
  <si>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</si>
  <si>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</si>
  <si>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</si>
  <si>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</si>
  <si>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</si>
  <si>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</si>
  <si>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</si>
  <si>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</si>
  <si>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</si>
  <si>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</si>
  <si>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</si>
  <si>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</si>
  <si>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</si>
  <si>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</si>
  <si>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</si>
  <si>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</si>
  <si>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</si>
  <si>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</si>
  <si>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</si>
  <si>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</si>
  <si>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</si>
  <si>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</si>
  <si>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</si>
  <si>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</si>
  <si>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</si>
  <si>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</si>
  <si>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</si>
  <si>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</si>
  <si>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</si>
  <si>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</si>
  <si>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</si>
  <si>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</si>
  <si>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</si>
  <si>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</si>
  <si>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</si>
  <si>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</si>
  <si>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</si>
  <si>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</si>
  <si>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</si>
  <si>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</si>
  <si>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</si>
  <si>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</si>
  <si>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</si>
  <si>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</si>
  <si>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</si>
  <si>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</si>
  <si>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</si>
  <si>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</si>
  <si>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</si>
  <si>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</si>
  <si>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</si>
  <si>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</si>
  <si>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</si>
  <si>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</si>
  <si>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</si>
  <si>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</si>
  <si>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</si>
  <si>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</si>
  <si>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</si>
  <si>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</si>
  <si>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</si>
  <si>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</si>
  <si>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</si>
  <si>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</si>
  <si>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</si>
  <si>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</si>
  <si>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</si>
  <si>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</si>
  <si>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</si>
  <si>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</si>
  <si>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</si>
  <si>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</si>
  <si>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</si>
  <si>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</si>
  <si>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</si>
  <si>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</si>
  <si>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</si>
  <si>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</si>
  <si>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</si>
  <si>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</si>
  <si>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</si>
  <si>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</si>
  <si>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</si>
  <si>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</si>
  <si>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</si>
  <si>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</si>
  <si>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</si>
  <si>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</si>
  <si>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</si>
  <si>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</si>
  <si>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</si>
  <si>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</si>
  <si>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</si>
  <si>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</si>
  <si>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</si>
  <si>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</si>
  <si>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</si>
  <si>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</si>
  <si>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</si>
  <si>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</si>
  <si>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</si>
  <si>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</si>
  <si>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</si>
  <si>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</si>
  <si>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</si>
  <si>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</si>
  <si>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</si>
  <si>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</si>
  <si>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</si>
  <si>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</si>
  <si>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</si>
  <si>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</si>
  <si>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</si>
  <si>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</si>
  <si>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</si>
  <si>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</si>
  <si>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</si>
  <si>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</si>
  <si>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</si>
  <si>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</si>
  <si>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</si>
  <si>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</si>
  <si>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</si>
  <si>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</si>
  <si>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</si>
  <si>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</si>
  <si>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</si>
  <si>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</si>
  <si>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</si>
  <si>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</si>
  <si>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</si>
  <si>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</si>
  <si>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</si>
  <si>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</si>
  <si>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</si>
  <si>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</si>
  <si>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</si>
  <si>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</si>
  <si>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</si>
  <si>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</si>
  <si>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</si>
  <si>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</si>
  <si>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</si>
  <si>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</si>
  <si>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</si>
  <si>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</si>
  <si>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</si>
  <si>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</si>
  <si>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</si>
  <si>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</si>
  <si>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</si>
  <si>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</si>
  <si>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</si>
  <si>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</si>
  <si>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</si>
  <si>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</si>
  <si>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</si>
  <si>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</si>
  <si>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</si>
  <si>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</si>
  <si>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</si>
  <si>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</si>
  <si>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</si>
  <si>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</si>
  <si>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</si>
  <si>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</si>
  <si>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</si>
  <si>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</si>
  <si>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</si>
  <si>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</si>
  <si>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</si>
  <si>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</si>
  <si>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</si>
  <si>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</si>
  <si>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</si>
  <si>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</si>
  <si>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</si>
  <si>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</si>
  <si>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</si>
  <si>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</si>
  <si>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</si>
  <si>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</si>
  <si>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</si>
  <si>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</si>
  <si>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</si>
  <si>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</si>
  <si>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</si>
  <si>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</si>
  <si>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</si>
  <si>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</si>
  <si>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</si>
  <si>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</si>
  <si>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</si>
  <si>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</si>
  <si>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</si>
  <si>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</si>
  <si>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</si>
  <si>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</si>
  <si>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</si>
  <si>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</si>
  <si>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</si>
  <si>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</si>
  <si>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</si>
  <si>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</si>
  <si>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</si>
  <si>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</si>
  <si>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</si>
  <si>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</si>
  <si>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</si>
  <si>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</si>
  <si>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</si>
  <si>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</si>
  <si>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</si>
  <si>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</si>
  <si>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</si>
  <si>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</si>
  <si>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</si>
  <si>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</si>
  <si>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</si>
  <si>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</si>
  <si>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</si>
  <si>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</si>
  <si>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</si>
  <si>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</si>
  <si>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</si>
  <si>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</si>
  <si>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</si>
  <si>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</si>
  <si>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</si>
  <si>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</si>
  <si>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</si>
  <si>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</si>
  <si>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</si>
  <si>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</si>
  <si>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</si>
  <si>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</si>
  <si>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</si>
  <si>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</si>
  <si>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</si>
  <si>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</si>
  <si>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</si>
  <si>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</si>
  <si>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</si>
  <si>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</si>
  <si>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</si>
  <si>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</si>
  <si>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</si>
  <si>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</si>
  <si>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</si>
  <si>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</si>
  <si>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</si>
  <si>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</si>
  <si>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</si>
  <si>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</si>
  <si>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</si>
  <si>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</si>
  <si>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</si>
  <si>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</si>
  <si>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</si>
  <si>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</si>
  <si>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</si>
  <si>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</si>
  <si>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</si>
  <si>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</si>
  <si>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</si>
  <si>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</si>
  <si>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</si>
  <si>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</si>
  <si>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</si>
  <si>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</si>
  <si>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</si>
  <si>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</si>
  <si>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</si>
  <si>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</si>
  <si>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</si>
  <si>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</si>
  <si>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</si>
  <si>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</si>
  <si>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</si>
  <si>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</si>
  <si>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</si>
  <si>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</si>
  <si>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</si>
  <si>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</si>
  <si>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</si>
  <si>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</si>
  <si>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</si>
  <si>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</si>
  <si>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</si>
  <si>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</si>
  <si>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</si>
  <si>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</si>
  <si>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</si>
  <si>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</si>
  <si>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</si>
  <si>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</si>
  <si>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</si>
  <si>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</si>
  <si>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</si>
  <si>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</si>
  <si>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</si>
  <si>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</si>
  <si>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</si>
  <si>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</si>
  <si>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</si>
  <si>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平层住宅</t>
  </si>
  <si>
    <t>底商</t>
  </si>
  <si>
    <t>办公楼</t>
  </si>
  <si>
    <t>住宅</t>
    <phoneticPr fontId="7" type="noConversion"/>
  </si>
  <si>
    <t>商业</t>
    <phoneticPr fontId="7" type="noConversion"/>
  </si>
  <si>
    <t>办公</t>
    <phoneticPr fontId="7" type="noConversion"/>
  </si>
  <si>
    <t>居住用地（指二类居住用地）</t>
  </si>
  <si>
    <t>自定义容积率</t>
  </si>
  <si>
    <t>与级别开发程度一致</t>
  </si>
  <si>
    <t>按公示增长率计算</t>
  </si>
  <si>
    <t>不临58条商业街</t>
  </si>
  <si>
    <t>商务金融用地（办公类）</t>
  </si>
  <si>
    <t>运潮馨苑</t>
    <phoneticPr fontId="3" type="noConversion"/>
  </si>
  <si>
    <t>首开缇香雅园</t>
    <phoneticPr fontId="3" type="noConversion"/>
  </si>
  <si>
    <t>十里春风嘉园</t>
    <phoneticPr fontId="3" type="noConversion"/>
  </si>
  <si>
    <t>正常</t>
  </si>
  <si>
    <t>住宅</t>
    <phoneticPr fontId="21" type="noConversion"/>
  </si>
  <si>
    <t>60-70（含）</t>
  </si>
  <si>
    <t>北京市通州区张家湾车辆段综合利用供地项目F3其他类多功能用地估价结果汇总表</t>
    <phoneticPr fontId="3" type="noConversion"/>
  </si>
  <si>
    <t>一般</t>
  </si>
  <si>
    <t>较好</t>
  </si>
  <si>
    <t>不动产收益法商业</t>
  </si>
  <si>
    <t>不动产收益法商业</t>
    <phoneticPr fontId="14" type="noConversion"/>
  </si>
  <si>
    <t>不动产收益法办公</t>
  </si>
  <si>
    <t>不动产收益法办公</t>
    <phoneticPr fontId="14" type="noConversion"/>
  </si>
  <si>
    <t>钢混</t>
  </si>
  <si>
    <t>好</t>
  </si>
  <si>
    <r>
      <t>玉桥西路1</t>
    </r>
    <r>
      <rPr>
        <sz val="11"/>
        <color theme="1"/>
        <rFont val="宋体"/>
        <family val="3"/>
        <charset val="134"/>
        <scheme val="minor"/>
      </rPr>
      <t>01号</t>
    </r>
    <phoneticPr fontId="228" type="noConversion"/>
  </si>
  <si>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</si>
  <si>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</si>
  <si>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</si>
  <si>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</si>
  <si>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</si>
  <si>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</si>
  <si>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</si>
  <si>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</si>
  <si>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</si>
  <si>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</si>
  <si>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</si>
  <si>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</si>
  <si>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</si>
  <si>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</si>
  <si>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</si>
  <si>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</si>
  <si>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</si>
  <si>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</si>
  <si>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</si>
  <si>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</si>
  <si>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</si>
  <si>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</si>
  <si>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</si>
  <si>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</si>
  <si>
    <t>综合体</t>
    <phoneticPr fontId="26" type="noConversion"/>
  </si>
  <si>
    <t>商业街店铺</t>
  </si>
  <si>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</si>
  <si>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</si>
  <si>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</si>
  <si>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</si>
  <si>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</si>
  <si>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</si>
  <si>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</si>
  <si>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</si>
  <si>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</si>
  <si>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</si>
  <si>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</si>
  <si>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</si>
  <si>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</si>
  <si>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</si>
  <si>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</si>
  <si>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</si>
  <si>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</si>
  <si>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</si>
  <si>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</si>
  <si>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</si>
  <si>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</si>
  <si>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</si>
  <si>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</si>
  <si>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</si>
  <si>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格瑞雅居</t>
    <phoneticPr fontId="228" type="noConversion"/>
  </si>
  <si>
    <t>钢混</t>
    <phoneticPr fontId="26" type="noConversion"/>
  </si>
  <si>
    <t>大方居</t>
    <phoneticPr fontId="228" type="noConversion"/>
  </si>
  <si>
    <t>办公</t>
    <phoneticPr fontId="27" type="noConversion"/>
  </si>
  <si>
    <t>40-50（含）</t>
  </si>
  <si>
    <t>钢混</t>
    <phoneticPr fontId="27" type="noConversion"/>
  </si>
  <si>
    <t>通州万达广场</t>
    <phoneticPr fontId="26"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</si>
  <si>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</si>
  <si>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</si>
  <si>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</si>
  <si>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</si>
  <si>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</si>
  <si>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</si>
  <si>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</si>
  <si>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</si>
  <si>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</si>
  <si>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绿地中央广场</t>
    <phoneticPr fontId="228" type="noConversion"/>
  </si>
  <si>
    <t>专业物业公司</t>
  </si>
  <si>
    <t>专业物业公司</t>
    <phoneticPr fontId="27" type="noConversion"/>
  </si>
  <si>
    <t>通州万达广场</t>
    <phoneticPr fontId="228" type="noConversion"/>
  </si>
  <si>
    <t>否</t>
  </si>
  <si>
    <t>与级别开发程度不一致</t>
  </si>
  <si>
    <t>通路</t>
  </si>
  <si>
    <t>通电</t>
  </si>
  <si>
    <t>通上水</t>
  </si>
  <si>
    <t>平整</t>
  </si>
  <si>
    <t>写字楼配套</t>
  </si>
  <si>
    <t>基准地价办公</t>
  </si>
  <si>
    <t>剩余法办公</t>
  </si>
  <si>
    <t>周边有通322路、342路、589路、667路、804路、808路、通19路、通41路、通62路等多条公交线路通过，距地铁6号线（北运河西站）约1公里，综合评价交通便捷度较好</t>
    <phoneticPr fontId="3"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</si>
  <si>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3" type="noConversion"/>
  </si>
  <si>
    <t>估价对象所在区域内基础设施配套条件达到“七通”（即通路、通上水、通下水、通电、通讯、通燃气、通热力），能够保证工作、生产需要，基础设施配套完善度好。</t>
    <phoneticPr fontId="3"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</si>
  <si>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3" type="noConversion"/>
  </si>
  <si>
    <t>周边有万达广场（通州店）、华联商厦（新华大街店）、京客隆超市（东关店）、华联超市（新华大街店）等商业服务设施，分布较为集中，综合考虑商业繁华度较好</t>
    <phoneticPr fontId="3" type="noConversion"/>
  </si>
  <si>
    <t>周边有京贸中心、东长安街写字楼、绿地中央广场（通州）、通州富力中心等多个办公楼项目，办公集聚程度较好。</t>
    <phoneticPr fontId="3" type="noConversion"/>
  </si>
  <si>
    <t>城市主干道——新华东街</t>
    <phoneticPr fontId="21" type="noConversion"/>
  </si>
  <si>
    <t>押一</t>
  </si>
  <si>
    <t>保利大都汇</t>
    <phoneticPr fontId="27" type="noConversion"/>
  </si>
  <si>
    <t>通州万达广场</t>
    <phoneticPr fontId="27" type="noConversion"/>
  </si>
  <si>
    <t>1、北京市通州区永顺镇0401街区46号地（西马庄收储）B4综合性商业金融服务业用地(住商办六级VI-通2)</t>
    <phoneticPr fontId="282" type="noConversion"/>
  </si>
  <si>
    <t>商务金融用地（商业类）</t>
  </si>
  <si>
    <t>六通</t>
  </si>
  <si>
    <t>高速路</t>
  </si>
</sst>
</file>

<file path=xl/styles.xml><?xml version="1.0" encoding="utf-8"?>
<styleSheet xmlns="http://schemas.openxmlformats.org/spreadsheetml/2006/main">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37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5" fillId="0" borderId="0" xfId="1">
      <alignment vertical="center"/>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90" fillId="0" borderId="46" xfId="0" applyFont="1" applyBorder="1" applyAlignment="1" applyProtection="1">
      <alignment horizontal="left" vertical="center"/>
      <protection locked="0"/>
    </xf>
    <xf numFmtId="197" fontId="75" fillId="5" borderId="10" xfId="0" applyNumberFormat="1" applyFont="1" applyFill="1" applyBorder="1" applyAlignment="1" applyProtection="1">
      <alignment vertical="center"/>
    </xf>
    <xf numFmtId="196" fontId="76" fillId="5" borderId="9" xfId="0" applyNumberFormat="1" applyFont="1" applyFill="1" applyBorder="1" applyAlignment="1" applyProtection="1">
      <alignment horizontal="center" vertical="center" wrapText="1"/>
    </xf>
    <xf numFmtId="180" fontId="288" fillId="0" borderId="0" xfId="16" applyNumberFormat="1" applyFont="1" applyAlignment="1">
      <alignment horizontal="center" vertical="center"/>
    </xf>
    <xf numFmtId="197" fontId="283" fillId="0" borderId="0" xfId="16" applyNumberFormat="1" applyFont="1">
      <alignment vertical="center"/>
    </xf>
    <xf numFmtId="0" fontId="163" fillId="9" borderId="2" xfId="3" applyFont="1" applyFill="1" applyBorder="1" applyAlignment="1" applyProtection="1">
      <alignment horizontal="center" vertical="center" wrapText="1"/>
      <protection locked="0"/>
    </xf>
    <xf numFmtId="0" fontId="279" fillId="5" borderId="6" xfId="3" applyFont="1" applyFill="1" applyBorder="1" applyAlignment="1" applyProtection="1">
      <alignment horizontal="center" vertical="center" wrapText="1"/>
    </xf>
    <xf numFmtId="195" fontId="286" fillId="0" borderId="0" xfId="16" applyNumberFormat="1" applyFont="1" applyFill="1" applyBorder="1" applyAlignment="1">
      <alignment horizontal="center" vertical="center"/>
    </xf>
    <xf numFmtId="178" fontId="76" fillId="9" borderId="2" xfId="2" applyNumberFormat="1" applyFont="1" applyFill="1" applyBorder="1" applyAlignment="1" applyProtection="1">
      <alignment horizontal="center" vertical="center"/>
      <protection locked="0"/>
    </xf>
    <xf numFmtId="0" fontId="84" fillId="9" borderId="32" xfId="0" applyNumberFormat="1" applyFont="1" applyFill="1" applyBorder="1" applyAlignment="1" applyProtection="1">
      <alignment horizontal="center" vertical="center" wrapText="1"/>
    </xf>
    <xf numFmtId="0" fontId="84" fillId="9" borderId="52" xfId="0" applyNumberFormat="1" applyFont="1" applyFill="1" applyBorder="1" applyAlignment="1" applyProtection="1">
      <alignment horizontal="center" vertical="center" wrapText="1"/>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84" fillId="9" borderId="25" xfId="0" applyNumberFormat="1" applyFont="1" applyFill="1" applyBorder="1" applyAlignment="1" applyProtection="1">
      <alignment horizontal="center" vertical="center" wrapText="1"/>
    </xf>
    <xf numFmtId="0" fontId="106" fillId="9" borderId="22" xfId="0" applyNumberFormat="1" applyFont="1" applyFill="1" applyBorder="1" applyAlignment="1" applyProtection="1">
      <alignment horizontal="center" vertical="center" wrapText="1"/>
      <protection locked="0"/>
    </xf>
    <xf numFmtId="0" fontId="84" fillId="9" borderId="22" xfId="0" applyNumberFormat="1" applyFont="1" applyFill="1" applyBorder="1" applyAlignment="1" applyProtection="1">
      <alignment horizontal="center" vertical="center" wrapText="1"/>
    </xf>
    <xf numFmtId="0" fontId="84" fillId="9" borderId="13" xfId="0" applyNumberFormat="1" applyFont="1" applyFill="1" applyBorder="1" applyAlignment="1" applyProtection="1">
      <alignment horizontal="center" vertical="center" wrapText="1"/>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9" fontId="285" fillId="0" borderId="2" xfId="16" applyNumberFormat="1" applyFont="1" applyFill="1" applyBorder="1" applyAlignment="1">
      <alignment horizontal="center" vertical="center"/>
    </xf>
    <xf numFmtId="182" fontId="76" fillId="9" borderId="12" xfId="0"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protection locked="0"/>
    </xf>
    <xf numFmtId="182" fontId="158" fillId="9" borderId="51"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90" fillId="0" borderId="11"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jpe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jpe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304800</xdr:colOff>
      <xdr:row>1</xdr:row>
      <xdr:rowOff>103579</xdr:rowOff>
    </xdr:from>
    <xdr:to>
      <xdr:col>19</xdr:col>
      <xdr:colOff>494627</xdr:colOff>
      <xdr:row>12</xdr:row>
      <xdr:rowOff>85275</xdr:rowOff>
    </xdr:to>
    <xdr:pic>
      <xdr:nvPicPr>
        <xdr:cNvPr id="3" name="图片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 cstate="print"/>
        <a:stretch>
          <a:fillRect/>
        </a:stretch>
      </xdr:blipFill>
      <xdr:spPr>
        <a:xfrm>
          <a:off x="8534400" y="284554"/>
          <a:ext cx="3361652" cy="2239121"/>
        </a:xfrm>
        <a:prstGeom prst="rect">
          <a:avLst/>
        </a:prstGeom>
      </xdr:spPr>
    </xdr:pic>
    <xdr:clientData/>
  </xdr:twoCellAnchor>
  <xdr:twoCellAnchor editAs="oneCell">
    <xdr:from>
      <xdr:col>0</xdr:col>
      <xdr:colOff>514350</xdr:colOff>
      <xdr:row>27</xdr:row>
      <xdr:rowOff>28575</xdr:rowOff>
    </xdr:from>
    <xdr:to>
      <xdr:col>11</xdr:col>
      <xdr:colOff>675346</xdr:colOff>
      <xdr:row>43</xdr:row>
      <xdr:rowOff>37699</xdr:rowOff>
    </xdr:to>
    <xdr:pic>
      <xdr:nvPicPr>
        <xdr:cNvPr id="4" name="图片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514350" y="5391150"/>
          <a:ext cx="7438096" cy="3209524"/>
        </a:xfrm>
        <a:prstGeom prst="rect">
          <a:avLst/>
        </a:prstGeom>
      </xdr:spPr>
    </xdr:pic>
    <xdr:clientData/>
  </xdr:twoCellAnchor>
  <xdr:twoCellAnchor editAs="oneCell">
    <xdr:from>
      <xdr:col>14</xdr:col>
      <xdr:colOff>66674</xdr:colOff>
      <xdr:row>27</xdr:row>
      <xdr:rowOff>52457</xdr:rowOff>
    </xdr:from>
    <xdr:to>
      <xdr:col>18</xdr:col>
      <xdr:colOff>513774</xdr:colOff>
      <xdr:row>38</xdr:row>
      <xdr:rowOff>123380</xdr:rowOff>
    </xdr:to>
    <xdr:pic>
      <xdr:nvPicPr>
        <xdr:cNvPr id="5" name="图片 4">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3" cstate="print"/>
        <a:stretch>
          <a:fillRect/>
        </a:stretch>
      </xdr:blipFill>
      <xdr:spPr>
        <a:xfrm>
          <a:off x="8296274" y="5415032"/>
          <a:ext cx="2933125" cy="2271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1" cstate="print"/>
        <a:stretch>
          <a:fillRect/>
        </a:stretch>
      </xdr:blipFill>
      <xdr:spPr>
        <a:xfrm>
          <a:off x="0" y="1"/>
          <a:ext cx="4108120" cy="2343150"/>
        </a:xfrm>
        <a:prstGeom prst="rect">
          <a:avLst/>
        </a:prstGeom>
      </xdr:spPr>
    </xdr:pic>
    <xdr:clientData/>
  </xdr:twoCellAnchor>
  <xdr:twoCellAnchor editAs="oneCell">
    <xdr:from>
      <xdr:col>6</xdr:col>
      <xdr:colOff>466724</xdr:colOff>
      <xdr:row>1</xdr:row>
      <xdr:rowOff>46690</xdr:rowOff>
    </xdr:from>
    <xdr:to>
      <xdr:col>10</xdr:col>
      <xdr:colOff>466093</xdr:colOff>
      <xdr:row>13</xdr:row>
      <xdr:rowOff>28106</xdr:rowOff>
    </xdr:to>
    <xdr:pic>
      <xdr:nvPicPr>
        <xdr:cNvPr id="4" name="图片 3">
          <a:extLst>
            <a:ext uri="{FF2B5EF4-FFF2-40B4-BE49-F238E27FC236}">
              <a16:creationId xmlns:a16="http://schemas.microsoft.com/office/drawing/2014/main" xmlns="" id="{00000000-0008-0000-2800-000004000000}"/>
            </a:ext>
          </a:extLst>
        </xdr:cNvPr>
        <xdr:cNvPicPr>
          <a:picLocks noChangeAspect="1"/>
        </xdr:cNvPicPr>
      </xdr:nvPicPr>
      <xdr:blipFill>
        <a:blip xmlns:r="http://schemas.openxmlformats.org/officeDocument/2006/relationships" r:embed="rId2" cstate="print"/>
        <a:stretch>
          <a:fillRect/>
        </a:stretch>
      </xdr:blipFill>
      <xdr:spPr>
        <a:xfrm>
          <a:off x="4581524" y="218140"/>
          <a:ext cx="2742569" cy="2038816"/>
        </a:xfrm>
        <a:prstGeom prst="rect">
          <a:avLst/>
        </a:prstGeom>
      </xdr:spPr>
    </xdr:pic>
    <xdr:clientData/>
  </xdr:twoCellAnchor>
  <xdr:twoCellAnchor editAs="oneCell">
    <xdr:from>
      <xdr:col>11</xdr:col>
      <xdr:colOff>0</xdr:colOff>
      <xdr:row>1</xdr:row>
      <xdr:rowOff>0</xdr:rowOff>
    </xdr:from>
    <xdr:to>
      <xdr:col>20</xdr:col>
      <xdr:colOff>323850</xdr:colOff>
      <xdr:row>13</xdr:row>
      <xdr:rowOff>155367</xdr:rowOff>
    </xdr:to>
    <xdr:pic>
      <xdr:nvPicPr>
        <xdr:cNvPr id="5" name="图片 4">
          <a:extLst>
            <a:ext uri="{FF2B5EF4-FFF2-40B4-BE49-F238E27FC236}">
              <a16:creationId xmlns:a16="http://schemas.microsoft.com/office/drawing/2014/main" xmlns="" id="{00000000-0008-0000-2800-000005000000}"/>
            </a:ext>
          </a:extLst>
        </xdr:cNvPr>
        <xdr:cNvPicPr>
          <a:picLocks noChangeAspect="1"/>
        </xdr:cNvPicPr>
      </xdr:nvPicPr>
      <xdr:blipFill>
        <a:blip xmlns:r="http://schemas.openxmlformats.org/officeDocument/2006/relationships" r:embed="rId3" cstate="print"/>
        <a:stretch>
          <a:fillRect/>
        </a:stretch>
      </xdr:blipFill>
      <xdr:spPr>
        <a:xfrm>
          <a:off x="7543800" y="171450"/>
          <a:ext cx="6496050" cy="2212767"/>
        </a:xfrm>
        <a:prstGeom prst="rect">
          <a:avLst/>
        </a:prstGeom>
      </xdr:spPr>
    </xdr:pic>
    <xdr:clientData/>
  </xdr:twoCellAnchor>
  <xdr:twoCellAnchor editAs="oneCell">
    <xdr:from>
      <xdr:col>6</xdr:col>
      <xdr:colOff>326931</xdr:colOff>
      <xdr:row>16</xdr:row>
      <xdr:rowOff>104775</xdr:rowOff>
    </xdr:from>
    <xdr:to>
      <xdr:col>10</xdr:col>
      <xdr:colOff>675642</xdr:colOff>
      <xdr:row>30</xdr:row>
      <xdr:rowOff>75715</xdr:rowOff>
    </xdr:to>
    <xdr:pic>
      <xdr:nvPicPr>
        <xdr:cNvPr id="6" name="图片 5">
          <a:extLst>
            <a:ext uri="{FF2B5EF4-FFF2-40B4-BE49-F238E27FC236}">
              <a16:creationId xmlns:a16="http://schemas.microsoft.com/office/drawing/2014/main" xmlns="" id="{00000000-0008-0000-2800-000006000000}"/>
            </a:ext>
          </a:extLst>
        </xdr:cNvPr>
        <xdr:cNvPicPr>
          <a:picLocks noChangeAspect="1"/>
        </xdr:cNvPicPr>
      </xdr:nvPicPr>
      <xdr:blipFill>
        <a:blip xmlns:r="http://schemas.openxmlformats.org/officeDocument/2006/relationships" r:embed="rId4" cstate="print"/>
        <a:stretch>
          <a:fillRect/>
        </a:stretch>
      </xdr:blipFill>
      <xdr:spPr>
        <a:xfrm>
          <a:off x="4441731" y="2847975"/>
          <a:ext cx="3091911" cy="237124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a:extLst>
            <a:ext uri="{FF2B5EF4-FFF2-40B4-BE49-F238E27FC236}">
              <a16:creationId xmlns:a16="http://schemas.microsoft.com/office/drawing/2014/main" xmlns="" id="{00000000-0008-0000-2800-000007000000}"/>
            </a:ext>
          </a:extLst>
        </xdr:cNvPr>
        <xdr:cNvPicPr>
          <a:picLocks noChangeAspect="1"/>
        </xdr:cNvPicPr>
      </xdr:nvPicPr>
      <xdr:blipFill>
        <a:blip xmlns:r="http://schemas.openxmlformats.org/officeDocument/2006/relationships" r:embed="rId5" cstate="print"/>
        <a:stretch>
          <a:fillRect/>
        </a:stretch>
      </xdr:blipFill>
      <xdr:spPr>
        <a:xfrm>
          <a:off x="0" y="2562225"/>
          <a:ext cx="3842504" cy="2199819"/>
        </a:xfrm>
        <a:prstGeom prst="rect">
          <a:avLst/>
        </a:prstGeom>
      </xdr:spPr>
    </xdr:pic>
    <xdr:clientData/>
  </xdr:twoCellAnchor>
  <xdr:twoCellAnchor editAs="oneCell">
    <xdr:from>
      <xdr:col>11</xdr:col>
      <xdr:colOff>352425</xdr:colOff>
      <xdr:row>15</xdr:row>
      <xdr:rowOff>138184</xdr:rowOff>
    </xdr:from>
    <xdr:to>
      <xdr:col>20</xdr:col>
      <xdr:colOff>674695</xdr:colOff>
      <xdr:row>28</xdr:row>
      <xdr:rowOff>152435</xdr:rowOff>
    </xdr:to>
    <xdr:pic>
      <xdr:nvPicPr>
        <xdr:cNvPr id="8" name="图片 7">
          <a:extLst>
            <a:ext uri="{FF2B5EF4-FFF2-40B4-BE49-F238E27FC236}">
              <a16:creationId xmlns:a16="http://schemas.microsoft.com/office/drawing/2014/main" xmlns="" id="{00000000-0008-0000-2800-000008000000}"/>
            </a:ext>
          </a:extLst>
        </xdr:cNvPr>
        <xdr:cNvPicPr>
          <a:picLocks noChangeAspect="1"/>
        </xdr:cNvPicPr>
      </xdr:nvPicPr>
      <xdr:blipFill>
        <a:blip xmlns:r="http://schemas.openxmlformats.org/officeDocument/2006/relationships" r:embed="rId6" cstate="print"/>
        <a:stretch>
          <a:fillRect/>
        </a:stretch>
      </xdr:blipFill>
      <xdr:spPr>
        <a:xfrm>
          <a:off x="7896225" y="2709934"/>
          <a:ext cx="6494470" cy="2243101"/>
        </a:xfrm>
        <a:prstGeom prst="rect">
          <a:avLst/>
        </a:prstGeom>
      </xdr:spPr>
    </xdr:pic>
    <xdr:clientData/>
  </xdr:twoCellAnchor>
  <xdr:twoCellAnchor editAs="oneCell">
    <xdr:from>
      <xdr:col>2</xdr:col>
      <xdr:colOff>0</xdr:colOff>
      <xdr:row>72</xdr:row>
      <xdr:rowOff>0</xdr:rowOff>
    </xdr:from>
    <xdr:to>
      <xdr:col>10</xdr:col>
      <xdr:colOff>361219</xdr:colOff>
      <xdr:row>98</xdr:row>
      <xdr:rowOff>132777</xdr:rowOff>
    </xdr:to>
    <xdr:pic>
      <xdr:nvPicPr>
        <xdr:cNvPr id="9" name="图片 8">
          <a:extLst>
            <a:ext uri="{FF2B5EF4-FFF2-40B4-BE49-F238E27FC236}">
              <a16:creationId xmlns:a16="http://schemas.microsoft.com/office/drawing/2014/main" xmlns="" id="{00000000-0008-0000-2800-000009000000}"/>
            </a:ext>
          </a:extLst>
        </xdr:cNvPr>
        <xdr:cNvPicPr>
          <a:picLocks noChangeAspect="1"/>
        </xdr:cNvPicPr>
      </xdr:nvPicPr>
      <xdr:blipFill>
        <a:blip xmlns:r="http://schemas.openxmlformats.org/officeDocument/2006/relationships" r:embed="rId7" cstate="print"/>
        <a:stretch>
          <a:fillRect/>
        </a:stretch>
      </xdr:blipFill>
      <xdr:spPr>
        <a:xfrm>
          <a:off x="1371600" y="12344400"/>
          <a:ext cx="5847619" cy="4590477"/>
        </a:xfrm>
        <a:prstGeom prst="rect">
          <a:avLst/>
        </a:prstGeom>
      </xdr:spPr>
    </xdr:pic>
    <xdr:clientData/>
  </xdr:twoCellAnchor>
  <xdr:twoCellAnchor editAs="oneCell">
    <xdr:from>
      <xdr:col>1</xdr:col>
      <xdr:colOff>47625</xdr:colOff>
      <xdr:row>31</xdr:row>
      <xdr:rowOff>104775</xdr:rowOff>
    </xdr:from>
    <xdr:to>
      <xdr:col>5</xdr:col>
      <xdr:colOff>479142</xdr:colOff>
      <xdr:row>42</xdr:row>
      <xdr:rowOff>9079</xdr:rowOff>
    </xdr:to>
    <xdr:pic>
      <xdr:nvPicPr>
        <xdr:cNvPr id="10" name="图片 9">
          <a:extLst>
            <a:ext uri="{FF2B5EF4-FFF2-40B4-BE49-F238E27FC236}">
              <a16:creationId xmlns:a16="http://schemas.microsoft.com/office/drawing/2014/main" xmlns="" id="{00000000-0008-0000-2800-00000A000000}"/>
            </a:ext>
          </a:extLst>
        </xdr:cNvPr>
        <xdr:cNvPicPr>
          <a:picLocks noChangeAspect="1"/>
        </xdr:cNvPicPr>
      </xdr:nvPicPr>
      <xdr:blipFill>
        <a:blip xmlns:r="http://schemas.openxmlformats.org/officeDocument/2006/relationships" r:embed="rId8" cstate="print"/>
        <a:stretch>
          <a:fillRect/>
        </a:stretch>
      </xdr:blipFill>
      <xdr:spPr>
        <a:xfrm>
          <a:off x="733425" y="5419725"/>
          <a:ext cx="3174717" cy="1790254"/>
        </a:xfrm>
        <a:prstGeom prst="rect">
          <a:avLst/>
        </a:prstGeom>
      </xdr:spPr>
    </xdr:pic>
    <xdr:clientData/>
  </xdr:twoCellAnchor>
  <xdr:twoCellAnchor editAs="oneCell">
    <xdr:from>
      <xdr:col>6</xdr:col>
      <xdr:colOff>200025</xdr:colOff>
      <xdr:row>33</xdr:row>
      <xdr:rowOff>26227</xdr:rowOff>
    </xdr:from>
    <xdr:to>
      <xdr:col>10</xdr:col>
      <xdr:colOff>561377</xdr:colOff>
      <xdr:row>45</xdr:row>
      <xdr:rowOff>104363</xdr:rowOff>
    </xdr:to>
    <xdr:pic>
      <xdr:nvPicPr>
        <xdr:cNvPr id="11" name="图片 10">
          <a:extLst>
            <a:ext uri="{FF2B5EF4-FFF2-40B4-BE49-F238E27FC236}">
              <a16:creationId xmlns:a16="http://schemas.microsoft.com/office/drawing/2014/main" xmlns="" id="{00000000-0008-0000-2800-00000B000000}"/>
            </a:ext>
          </a:extLst>
        </xdr:cNvPr>
        <xdr:cNvPicPr>
          <a:picLocks noChangeAspect="1"/>
        </xdr:cNvPicPr>
      </xdr:nvPicPr>
      <xdr:blipFill>
        <a:blip xmlns:r="http://schemas.openxmlformats.org/officeDocument/2006/relationships" r:embed="rId9" cstate="print"/>
        <a:stretch>
          <a:fillRect/>
        </a:stretch>
      </xdr:blipFill>
      <xdr:spPr>
        <a:xfrm>
          <a:off x="4314825" y="5684077"/>
          <a:ext cx="3104552" cy="2135536"/>
        </a:xfrm>
        <a:prstGeom prst="rect">
          <a:avLst/>
        </a:prstGeom>
      </xdr:spPr>
    </xdr:pic>
    <xdr:clientData/>
  </xdr:twoCellAnchor>
  <xdr:twoCellAnchor editAs="oneCell">
    <xdr:from>
      <xdr:col>10</xdr:col>
      <xdr:colOff>657224</xdr:colOff>
      <xdr:row>31</xdr:row>
      <xdr:rowOff>17939</xdr:rowOff>
    </xdr:from>
    <xdr:to>
      <xdr:col>19</xdr:col>
      <xdr:colOff>332395</xdr:colOff>
      <xdr:row>42</xdr:row>
      <xdr:rowOff>171109</xdr:rowOff>
    </xdr:to>
    <xdr:pic>
      <xdr:nvPicPr>
        <xdr:cNvPr id="12" name="图片 11">
          <a:extLst>
            <a:ext uri="{FF2B5EF4-FFF2-40B4-BE49-F238E27FC236}">
              <a16:creationId xmlns:a16="http://schemas.microsoft.com/office/drawing/2014/main" xmlns="" id="{00000000-0008-0000-2800-00000C000000}"/>
            </a:ext>
          </a:extLst>
        </xdr:cNvPr>
        <xdr:cNvPicPr>
          <a:picLocks noChangeAspect="1"/>
        </xdr:cNvPicPr>
      </xdr:nvPicPr>
      <xdr:blipFill>
        <a:blip xmlns:r="http://schemas.openxmlformats.org/officeDocument/2006/relationships" r:embed="rId10" cstate="print"/>
        <a:stretch>
          <a:fillRect/>
        </a:stretch>
      </xdr:blipFill>
      <xdr:spPr>
        <a:xfrm>
          <a:off x="7515224" y="5332889"/>
          <a:ext cx="5847371" cy="2039120"/>
        </a:xfrm>
        <a:prstGeom prst="rect">
          <a:avLst/>
        </a:prstGeom>
      </xdr:spPr>
    </xdr:pic>
    <xdr:clientData/>
  </xdr:twoCellAnchor>
  <xdr:twoCellAnchor editAs="oneCell">
    <xdr:from>
      <xdr:col>13</xdr:col>
      <xdr:colOff>0</xdr:colOff>
      <xdr:row>63</xdr:row>
      <xdr:rowOff>0</xdr:rowOff>
    </xdr:from>
    <xdr:to>
      <xdr:col>19</xdr:col>
      <xdr:colOff>275676</xdr:colOff>
      <xdr:row>85</xdr:row>
      <xdr:rowOff>37624</xdr:rowOff>
    </xdr:to>
    <xdr:pic>
      <xdr:nvPicPr>
        <xdr:cNvPr id="13" name="图片 12">
          <a:extLst>
            <a:ext uri="{FF2B5EF4-FFF2-40B4-BE49-F238E27FC236}">
              <a16:creationId xmlns:a16="http://schemas.microsoft.com/office/drawing/2014/main" xmlns="" id="{00000000-0008-0000-2800-00000D000000}"/>
            </a:ext>
          </a:extLst>
        </xdr:cNvPr>
        <xdr:cNvPicPr>
          <a:picLocks noChangeAspect="1"/>
        </xdr:cNvPicPr>
      </xdr:nvPicPr>
      <xdr:blipFill>
        <a:blip xmlns:r="http://schemas.openxmlformats.org/officeDocument/2006/relationships" r:embed="rId11" cstate="print"/>
        <a:stretch>
          <a:fillRect/>
        </a:stretch>
      </xdr:blipFill>
      <xdr:spPr>
        <a:xfrm>
          <a:off x="8915400" y="10801350"/>
          <a:ext cx="4390476" cy="3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1" cstate="print"/>
        <a:stretch>
          <a:fillRect/>
        </a:stretch>
      </xdr:blipFill>
      <xdr:spPr>
        <a:xfrm>
          <a:off x="0" y="2743200"/>
          <a:ext cx="3647619" cy="2238095"/>
        </a:xfrm>
        <a:prstGeom prst="rect">
          <a:avLst/>
        </a:prstGeom>
      </xdr:spPr>
    </xdr:pic>
    <xdr:clientData/>
  </xdr:twoCellAnchor>
  <xdr:twoCellAnchor editAs="oneCell">
    <xdr:from>
      <xdr:col>5</xdr:col>
      <xdr:colOff>419100</xdr:colOff>
      <xdr:row>0</xdr:row>
      <xdr:rowOff>136892</xdr:rowOff>
    </xdr:from>
    <xdr:to>
      <xdr:col>9</xdr:col>
      <xdr:colOff>361352</xdr:colOff>
      <xdr:row>13</xdr:row>
      <xdr:rowOff>80962</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2" cstate="print"/>
        <a:stretch>
          <a:fillRect/>
        </a:stretch>
      </xdr:blipFill>
      <xdr:spPr>
        <a:xfrm>
          <a:off x="3848100" y="2708642"/>
          <a:ext cx="2685452" cy="2172920"/>
        </a:xfrm>
        <a:prstGeom prst="rect">
          <a:avLst/>
        </a:prstGeom>
      </xdr:spPr>
    </xdr:pic>
    <xdr:clientData/>
  </xdr:twoCellAnchor>
  <xdr:twoCellAnchor editAs="oneCell">
    <xdr:from>
      <xdr:col>0</xdr:col>
      <xdr:colOff>0</xdr:colOff>
      <xdr:row>15</xdr:row>
      <xdr:rowOff>0</xdr:rowOff>
    </xdr:from>
    <xdr:to>
      <xdr:col>8</xdr:col>
      <xdr:colOff>276225</xdr:colOff>
      <xdr:row>35</xdr:row>
      <xdr:rowOff>69737</xdr:rowOff>
    </xdr:to>
    <xdr:pic>
      <xdr:nvPicPr>
        <xdr:cNvPr id="5" name="图片 4">
          <a:extLst>
            <a:ext uri="{FF2B5EF4-FFF2-40B4-BE49-F238E27FC236}">
              <a16:creationId xmlns:a16="http://schemas.microsoft.com/office/drawing/2014/main" xmlns="" id="{00000000-0008-0000-2A00-000005000000}"/>
            </a:ext>
          </a:extLst>
        </xdr:cNvPr>
        <xdr:cNvPicPr>
          <a:picLocks noChangeAspect="1"/>
        </xdr:cNvPicPr>
      </xdr:nvPicPr>
      <xdr:blipFill>
        <a:blip xmlns:r="http://schemas.openxmlformats.org/officeDocument/2006/relationships" r:embed="rId3" cstate="print"/>
        <a:stretch>
          <a:fillRect/>
        </a:stretch>
      </xdr:blipFill>
      <xdr:spPr>
        <a:xfrm>
          <a:off x="0" y="5143500"/>
          <a:ext cx="5762625" cy="3498737"/>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a:extLst>
            <a:ext uri="{FF2B5EF4-FFF2-40B4-BE49-F238E27FC236}">
              <a16:creationId xmlns:a16="http://schemas.microsoft.com/office/drawing/2014/main" xmlns="" id="{00000000-0008-0000-2A00-000007000000}"/>
            </a:ext>
          </a:extLst>
        </xdr:cNvPr>
        <xdr:cNvPicPr>
          <a:picLocks noChangeAspect="1"/>
        </xdr:cNvPicPr>
      </xdr:nvPicPr>
      <xdr:blipFill>
        <a:blip xmlns:r="http://schemas.openxmlformats.org/officeDocument/2006/relationships" r:embed="rId4" cstate="print"/>
        <a:stretch>
          <a:fillRect/>
        </a:stretch>
      </xdr:blipFill>
      <xdr:spPr>
        <a:xfrm>
          <a:off x="0" y="6686550"/>
          <a:ext cx="4514286" cy="3495238"/>
        </a:xfrm>
        <a:prstGeom prst="rect">
          <a:avLst/>
        </a:prstGeom>
      </xdr:spPr>
    </xdr:pic>
    <xdr:clientData/>
  </xdr:twoCellAnchor>
  <xdr:twoCellAnchor editAs="oneCell">
    <xdr:from>
      <xdr:col>6</xdr:col>
      <xdr:colOff>590549</xdr:colOff>
      <xdr:row>36</xdr:row>
      <xdr:rowOff>109844</xdr:rowOff>
    </xdr:from>
    <xdr:to>
      <xdr:col>18</xdr:col>
      <xdr:colOff>17660</xdr:colOff>
      <xdr:row>52</xdr:row>
      <xdr:rowOff>56662</xdr:rowOff>
    </xdr:to>
    <xdr:pic>
      <xdr:nvPicPr>
        <xdr:cNvPr id="8" name="图片 7">
          <a:extLst>
            <a:ext uri="{FF2B5EF4-FFF2-40B4-BE49-F238E27FC236}">
              <a16:creationId xmlns:a16="http://schemas.microsoft.com/office/drawing/2014/main" xmlns="" id="{00000000-0008-0000-2A00-000008000000}"/>
            </a:ext>
          </a:extLst>
        </xdr:cNvPr>
        <xdr:cNvPicPr>
          <a:picLocks noChangeAspect="1"/>
        </xdr:cNvPicPr>
      </xdr:nvPicPr>
      <xdr:blipFill>
        <a:blip xmlns:r="http://schemas.openxmlformats.org/officeDocument/2006/relationships" r:embed="rId5" cstate="print"/>
        <a:stretch>
          <a:fillRect/>
        </a:stretch>
      </xdr:blipFill>
      <xdr:spPr>
        <a:xfrm>
          <a:off x="4705349" y="6282044"/>
          <a:ext cx="7656711" cy="2690018"/>
        </a:xfrm>
        <a:prstGeom prst="rect">
          <a:avLst/>
        </a:prstGeom>
      </xdr:spPr>
    </xdr:pic>
    <xdr:clientData/>
  </xdr:twoCellAnchor>
  <xdr:twoCellAnchor editAs="oneCell">
    <xdr:from>
      <xdr:col>7</xdr:col>
      <xdr:colOff>171450</xdr:colOff>
      <xdr:row>52</xdr:row>
      <xdr:rowOff>122850</xdr:rowOff>
    </xdr:from>
    <xdr:to>
      <xdr:col>13</xdr:col>
      <xdr:colOff>611474</xdr:colOff>
      <xdr:row>64</xdr:row>
      <xdr:rowOff>38099</xdr:rowOff>
    </xdr:to>
    <xdr:pic>
      <xdr:nvPicPr>
        <xdr:cNvPr id="9" name="图片 8">
          <a:extLst>
            <a:ext uri="{FF2B5EF4-FFF2-40B4-BE49-F238E27FC236}">
              <a16:creationId xmlns:a16="http://schemas.microsoft.com/office/drawing/2014/main" xmlns="" id="{00000000-0008-0000-2A00-000009000000}"/>
            </a:ext>
          </a:extLst>
        </xdr:cNvPr>
        <xdr:cNvPicPr>
          <a:picLocks noChangeAspect="1"/>
        </xdr:cNvPicPr>
      </xdr:nvPicPr>
      <xdr:blipFill>
        <a:blip xmlns:r="http://schemas.openxmlformats.org/officeDocument/2006/relationships" r:embed="rId6" cstate="print"/>
        <a:stretch>
          <a:fillRect/>
        </a:stretch>
      </xdr:blipFill>
      <xdr:spPr>
        <a:xfrm>
          <a:off x="4972050" y="9038250"/>
          <a:ext cx="4554824" cy="1972649"/>
        </a:xfrm>
        <a:prstGeom prst="rect">
          <a:avLst/>
        </a:prstGeom>
      </xdr:spPr>
    </xdr:pic>
    <xdr:clientData/>
  </xdr:twoCellAnchor>
  <xdr:twoCellAnchor editAs="oneCell">
    <xdr:from>
      <xdr:col>0</xdr:col>
      <xdr:colOff>0</xdr:colOff>
      <xdr:row>67</xdr:row>
      <xdr:rowOff>0</xdr:rowOff>
    </xdr:from>
    <xdr:to>
      <xdr:col>6</xdr:col>
      <xdr:colOff>66153</xdr:colOff>
      <xdr:row>85</xdr:row>
      <xdr:rowOff>142472</xdr:rowOff>
    </xdr:to>
    <xdr:pic>
      <xdr:nvPicPr>
        <xdr:cNvPr id="10" name="图片 9">
          <a:extLst>
            <a:ext uri="{FF2B5EF4-FFF2-40B4-BE49-F238E27FC236}">
              <a16:creationId xmlns:a16="http://schemas.microsoft.com/office/drawing/2014/main" xmlns="" id="{00000000-0008-0000-2A00-00000A000000}"/>
            </a:ext>
          </a:extLst>
        </xdr:cNvPr>
        <xdr:cNvPicPr>
          <a:picLocks noChangeAspect="1"/>
        </xdr:cNvPicPr>
      </xdr:nvPicPr>
      <xdr:blipFill>
        <a:blip xmlns:r="http://schemas.openxmlformats.org/officeDocument/2006/relationships" r:embed="rId7" cstate="print"/>
        <a:stretch>
          <a:fillRect/>
        </a:stretch>
      </xdr:blipFill>
      <xdr:spPr>
        <a:xfrm>
          <a:off x="0" y="11487150"/>
          <a:ext cx="4180953" cy="3228572"/>
        </a:xfrm>
        <a:prstGeom prst="rect">
          <a:avLst/>
        </a:prstGeom>
      </xdr:spPr>
    </xdr:pic>
    <xdr:clientData/>
  </xdr:twoCellAnchor>
  <xdr:twoCellAnchor editAs="oneCell">
    <xdr:from>
      <xdr:col>6</xdr:col>
      <xdr:colOff>523875</xdr:colOff>
      <xdr:row>65</xdr:row>
      <xdr:rowOff>24927</xdr:rowOff>
    </xdr:from>
    <xdr:to>
      <xdr:col>13</xdr:col>
      <xdr:colOff>361192</xdr:colOff>
      <xdr:row>85</xdr:row>
      <xdr:rowOff>47061</xdr:rowOff>
    </xdr:to>
    <xdr:pic>
      <xdr:nvPicPr>
        <xdr:cNvPr id="11" name="图片 10">
          <a:extLst>
            <a:ext uri="{FF2B5EF4-FFF2-40B4-BE49-F238E27FC236}">
              <a16:creationId xmlns:a16="http://schemas.microsoft.com/office/drawing/2014/main" xmlns="" id="{00000000-0008-0000-2A00-00000B000000}"/>
            </a:ext>
          </a:extLst>
        </xdr:cNvPr>
        <xdr:cNvPicPr>
          <a:picLocks noChangeAspect="1"/>
        </xdr:cNvPicPr>
      </xdr:nvPicPr>
      <xdr:blipFill>
        <a:blip xmlns:r="http://schemas.openxmlformats.org/officeDocument/2006/relationships" r:embed="rId8" cstate="print"/>
        <a:stretch>
          <a:fillRect/>
        </a:stretch>
      </xdr:blipFill>
      <xdr:spPr>
        <a:xfrm>
          <a:off x="4638675" y="11169177"/>
          <a:ext cx="4637917" cy="3451134"/>
        </a:xfrm>
        <a:prstGeom prst="rect">
          <a:avLst/>
        </a:prstGeom>
      </xdr:spPr>
    </xdr:pic>
    <xdr:clientData/>
  </xdr:twoCellAnchor>
  <xdr:twoCellAnchor editAs="oneCell">
    <xdr:from>
      <xdr:col>6</xdr:col>
      <xdr:colOff>371475</xdr:colOff>
      <xdr:row>86</xdr:row>
      <xdr:rowOff>5997</xdr:rowOff>
    </xdr:from>
    <xdr:to>
      <xdr:col>12</xdr:col>
      <xdr:colOff>208747</xdr:colOff>
      <xdr:row>91</xdr:row>
      <xdr:rowOff>85535</xdr:rowOff>
    </xdr:to>
    <xdr:pic>
      <xdr:nvPicPr>
        <xdr:cNvPr id="12" name="图片 11">
          <a:extLst>
            <a:ext uri="{FF2B5EF4-FFF2-40B4-BE49-F238E27FC236}">
              <a16:creationId xmlns:a16="http://schemas.microsoft.com/office/drawing/2014/main" xmlns="" id="{00000000-0008-0000-2A00-00000C000000}"/>
            </a:ext>
          </a:extLst>
        </xdr:cNvPr>
        <xdr:cNvPicPr>
          <a:picLocks noChangeAspect="1"/>
        </xdr:cNvPicPr>
      </xdr:nvPicPr>
      <xdr:blipFill>
        <a:blip xmlns:r="http://schemas.openxmlformats.org/officeDocument/2006/relationships" r:embed="rId9" cstate="print"/>
        <a:stretch>
          <a:fillRect/>
        </a:stretch>
      </xdr:blipFill>
      <xdr:spPr>
        <a:xfrm>
          <a:off x="4486275" y="14750697"/>
          <a:ext cx="3952072" cy="936788"/>
        </a:xfrm>
        <a:prstGeom prst="rect">
          <a:avLst/>
        </a:prstGeom>
      </xdr:spPr>
    </xdr:pic>
    <xdr:clientData/>
  </xdr:twoCellAnchor>
  <xdr:twoCellAnchor editAs="oneCell">
    <xdr:from>
      <xdr:col>9</xdr:col>
      <xdr:colOff>466725</xdr:colOff>
      <xdr:row>15</xdr:row>
      <xdr:rowOff>70768</xdr:rowOff>
    </xdr:from>
    <xdr:to>
      <xdr:col>16</xdr:col>
      <xdr:colOff>189628</xdr:colOff>
      <xdr:row>32</xdr:row>
      <xdr:rowOff>56591</xdr:rowOff>
    </xdr:to>
    <xdr:pic>
      <xdr:nvPicPr>
        <xdr:cNvPr id="6" name="图片 5">
          <a:extLst>
            <a:ext uri="{FF2B5EF4-FFF2-40B4-BE49-F238E27FC236}">
              <a16:creationId xmlns:a16="http://schemas.microsoft.com/office/drawing/2014/main" xmlns="" id="{00000000-0008-0000-2A00-000006000000}"/>
            </a:ext>
          </a:extLst>
        </xdr:cNvPr>
        <xdr:cNvPicPr>
          <a:picLocks noChangeAspect="1"/>
        </xdr:cNvPicPr>
      </xdr:nvPicPr>
      <xdr:blipFill>
        <a:blip xmlns:r="http://schemas.openxmlformats.org/officeDocument/2006/relationships" r:embed="rId10" cstate="print"/>
        <a:stretch>
          <a:fillRect/>
        </a:stretch>
      </xdr:blipFill>
      <xdr:spPr>
        <a:xfrm>
          <a:off x="6638925" y="2642518"/>
          <a:ext cx="4523503" cy="2900473"/>
        </a:xfrm>
        <a:prstGeom prst="rect">
          <a:avLst/>
        </a:prstGeom>
      </xdr:spPr>
    </xdr:pic>
    <xdr:clientData/>
  </xdr:twoCellAnchor>
  <xdr:twoCellAnchor editAs="oneCell">
    <xdr:from>
      <xdr:col>6</xdr:col>
      <xdr:colOff>114299</xdr:colOff>
      <xdr:row>92</xdr:row>
      <xdr:rowOff>36055</xdr:rowOff>
    </xdr:from>
    <xdr:to>
      <xdr:col>10</xdr:col>
      <xdr:colOff>523286</xdr:colOff>
      <xdr:row>105</xdr:row>
      <xdr:rowOff>104346</xdr:rowOff>
    </xdr:to>
    <xdr:pic>
      <xdr:nvPicPr>
        <xdr:cNvPr id="14" name="图片 13">
          <a:extLst>
            <a:ext uri="{FF2B5EF4-FFF2-40B4-BE49-F238E27FC236}">
              <a16:creationId xmlns:a16="http://schemas.microsoft.com/office/drawing/2014/main" xmlns="" id="{00000000-0008-0000-2A00-00000E000000}"/>
            </a:ext>
          </a:extLst>
        </xdr:cNvPr>
        <xdr:cNvPicPr>
          <a:picLocks noChangeAspect="1"/>
        </xdr:cNvPicPr>
      </xdr:nvPicPr>
      <xdr:blipFill>
        <a:blip xmlns:r="http://schemas.openxmlformats.org/officeDocument/2006/relationships" r:embed="rId11" cstate="print"/>
        <a:stretch>
          <a:fillRect/>
        </a:stretch>
      </xdr:blipFill>
      <xdr:spPr>
        <a:xfrm>
          <a:off x="4229099" y="15809455"/>
          <a:ext cx="3152187" cy="2297141"/>
        </a:xfrm>
        <a:prstGeom prst="rect">
          <a:avLst/>
        </a:prstGeom>
      </xdr:spPr>
    </xdr:pic>
    <xdr:clientData/>
  </xdr:twoCellAnchor>
  <xdr:twoCellAnchor editAs="oneCell">
    <xdr:from>
      <xdr:col>11</xdr:col>
      <xdr:colOff>85724</xdr:colOff>
      <xdr:row>93</xdr:row>
      <xdr:rowOff>56334</xdr:rowOff>
    </xdr:from>
    <xdr:to>
      <xdr:col>18</xdr:col>
      <xdr:colOff>218199</xdr:colOff>
      <xdr:row>112</xdr:row>
      <xdr:rowOff>161329</xdr:rowOff>
    </xdr:to>
    <xdr:pic>
      <xdr:nvPicPr>
        <xdr:cNvPr id="15" name="图片 14">
          <a:extLst>
            <a:ext uri="{FF2B5EF4-FFF2-40B4-BE49-F238E27FC236}">
              <a16:creationId xmlns:a16="http://schemas.microsoft.com/office/drawing/2014/main" xmlns="" id="{00000000-0008-0000-2A00-00000F000000}"/>
            </a:ext>
          </a:extLst>
        </xdr:cNvPr>
        <xdr:cNvPicPr>
          <a:picLocks noChangeAspect="1"/>
        </xdr:cNvPicPr>
      </xdr:nvPicPr>
      <xdr:blipFill>
        <a:blip xmlns:r="http://schemas.openxmlformats.org/officeDocument/2006/relationships" r:embed="rId12" cstate="print"/>
        <a:stretch>
          <a:fillRect/>
        </a:stretch>
      </xdr:blipFill>
      <xdr:spPr>
        <a:xfrm>
          <a:off x="7629524" y="16001184"/>
          <a:ext cx="4933075" cy="3362545"/>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3" cstate="print"/>
        <a:stretch>
          <a:fillRect/>
        </a:stretch>
      </xdr:blipFill>
      <xdr:spPr>
        <a:xfrm>
          <a:off x="92869" y="15563850"/>
          <a:ext cx="4080215" cy="24189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1" cstate="print"/>
        <a:stretch>
          <a:fillRect/>
        </a:stretch>
      </xdr:blipFill>
      <xdr:spPr>
        <a:xfrm>
          <a:off x="9525" y="0"/>
          <a:ext cx="7373744"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商业</v>
          </cell>
        </row>
        <row r="21">
          <cell r="C21"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sheetData sheetId="43"/>
      <sheetData sheetId="44"/>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2634</v>
      </c>
      <c r="B1" s="2606" t="s">
        <v>2731</v>
      </c>
    </row>
    <row r="2" spans="1:55" s="2610" customFormat="1" ht="15" thickTop="1">
      <c r="A2" s="2608" t="s">
        <v>2638</v>
      </c>
      <c r="B2" s="2609" t="str">
        <f>'预评函-封皮'!B37</f>
        <v>北京市国有建设用地使用权预评估</v>
      </c>
      <c r="AX2" s="2611"/>
      <c r="AZ2" s="2611"/>
      <c r="BA2" s="2612"/>
      <c r="BC2" s="2612"/>
    </row>
    <row r="3" spans="1:55" s="2613" customFormat="1">
      <c r="A3" s="2592" t="s">
        <v>2639</v>
      </c>
      <c r="B3" s="2595">
        <f>'预评函-封皮'!B40</f>
        <v>0</v>
      </c>
    </row>
    <row r="4" spans="1:55" s="2594" customFormat="1">
      <c r="A4" s="2592" t="s">
        <v>2640</v>
      </c>
      <c r="B4" s="2593" t="str">
        <f>'预评函-封皮'!B46</f>
        <v>土地估价师、土地估价师</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2641</v>
      </c>
      <c r="B5" s="2615" t="str">
        <f>'预评函-封皮'!B49</f>
        <v>康正预评字号</v>
      </c>
    </row>
    <row r="6" spans="1:55" s="2616" customFormat="1" ht="15" thickTop="1">
      <c r="A6" s="2608" t="s">
        <v>2683</v>
      </c>
      <c r="B6" s="2609" t="str">
        <f>'预评函-1'!A4</f>
        <v>受贵公司委托，我公司对北京市国有建设用地使用权进行了预评估。</v>
      </c>
      <c r="AM6" s="2617"/>
    </row>
    <row r="7" spans="1:55" s="2591" customFormat="1">
      <c r="A7" s="2592" t="s">
        <v>2635</v>
      </c>
      <c r="B7" s="2593" t="str">
        <f>'预评函-1'!A6</f>
        <v>估价对象为使用的、位于北京市国有建设用地使用权。根据《国有土地使用证》[]，估价对象（分摊）国有建设用地使用权面积为5500.65平方米。根据《建设工程规划许可证》[]、《出让合同》[]，估价对象规划建筑面积为30803.628平方米。</v>
      </c>
    </row>
    <row r="8" spans="1:55" s="2591" customFormat="1">
      <c r="A8" s="2592" t="s">
        <v>2636</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2686</v>
      </c>
      <c r="B9" s="2593" t="str">
        <f>'预评函-1'!A9</f>
        <v>本次评估为委托估价方了解标的物之市场价格提供参考依据而评估国有建设用地使用权市场价格。</v>
      </c>
    </row>
    <row r="10" spans="1:55" s="2591" customFormat="1">
      <c r="A10" s="2592" t="s">
        <v>2637</v>
      </c>
      <c r="B10" s="2593" t="str">
        <f>'预评函-1'!A11</f>
        <v>2021年8月16日</v>
      </c>
    </row>
    <row r="11" spans="1:55" s="2591" customFormat="1">
      <c r="A11" s="2592" t="s">
        <v>2643</v>
      </c>
      <c r="B11" s="2593" t="str">
        <f>'预评函-1'!A14</f>
        <v>根据《国有土地使用证》[]，本次评估估价对象证载（地类）用途为。</v>
      </c>
    </row>
    <row r="12" spans="1:55" s="2591" customFormat="1">
      <c r="A12" s="2592" t="s">
        <v>2644</v>
      </c>
      <c r="B12" s="2593" t="str">
        <f>'预评函-1'!A15</f>
        <v>本次评估设定用途即为证载用途。</v>
      </c>
    </row>
    <row r="13" spans="1:55" s="2591" customFormat="1">
      <c r="A13" s="2592" t="s">
        <v>2645</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2646</v>
      </c>
      <c r="B14" s="2593" t="str">
        <f>'预评函-1'!A18</f>
        <v>。本次评估设定土地开发程度为红线外市政基础设施达“七通”、宗地红线内场地平整。</v>
      </c>
    </row>
    <row r="15" spans="1:55" s="2591" customFormat="1">
      <c r="A15" s="2592" t="s">
        <v>2642</v>
      </c>
      <c r="B15" s="2593" t="str">
        <f>'预评函-1'!A20</f>
        <v>根据《国有土地使用证》[]，估价对象（分摊）出让国有建设用地使用权面积为5500.65平方米。根据《建设工程规划许可证》[]、《出让合同》[]，估价对象规划建筑面积为30803.628平方米。</v>
      </c>
    </row>
    <row r="16" spans="1:55" s="2591" customFormat="1">
      <c r="A16" s="2592" t="s">
        <v>2647</v>
      </c>
      <c r="B16" s="2593" t="str">
        <f>'预评函-1'!A22</f>
        <v>本次估价对象国有建设用地使用权类型为划拨，无土地使用年限限制。</v>
      </c>
    </row>
    <row r="17" spans="1:48" s="2591" customFormat="1">
      <c r="A17" s="2592" t="s">
        <v>2648</v>
      </c>
      <c r="B17" s="2593" t="str">
        <f>'预评函-1'!A23</f>
        <v/>
      </c>
    </row>
    <row r="18" spans="1:48" s="2591" customFormat="1">
      <c r="A18" s="2592" t="s">
        <v>2649</v>
      </c>
      <c r="B18" s="259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1" customFormat="1">
      <c r="A19" s="2592" t="s">
        <v>2650</v>
      </c>
      <c r="B19" s="2593" t="str">
        <f>'预评函-1'!A26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0" spans="1:48" s="2591" customFormat="1">
      <c r="A20" s="2592" t="s">
        <v>2651</v>
      </c>
      <c r="B20" s="2593" t="str">
        <f>'预评函-1'!A27</f>
        <v>——</v>
      </c>
    </row>
    <row r="21" spans="1:48" s="2607" customFormat="1" ht="15" thickBot="1">
      <c r="A21" s="2614" t="s">
        <v>2652</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2653</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23" spans="1:48">
      <c r="A23" s="2592" t="s">
        <v>2654</v>
      </c>
      <c r="B23" s="2593" t="str">
        <f>'预评函-2'!K2</f>
        <v>估价期日：2021年8月16日</v>
      </c>
    </row>
    <row r="24" spans="1:48">
      <c r="A24" s="2592" t="s">
        <v>2655</v>
      </c>
      <c r="B24" s="2593" t="str">
        <f>'预评函-2'!R2</f>
        <v>估价期日的国有建设用地使用权性质：</v>
      </c>
    </row>
    <row r="25" spans="1:48">
      <c r="A25" s="2592" t="s">
        <v>2711</v>
      </c>
      <c r="B25" s="2593" t="str">
        <f>'预评函-2'!A3</f>
        <v>估价期日土地使用者</v>
      </c>
    </row>
    <row r="26" spans="1:48">
      <c r="A26" s="2592" t="s">
        <v>2687</v>
      </c>
      <c r="B26" s="2593" t="str">
        <f>'预评函-2'!A5</f>
        <v>中信开发</v>
      </c>
    </row>
    <row r="27" spans="1:48">
      <c r="A27" s="2592" t="s">
        <v>2712</v>
      </c>
      <c r="B27" s="2593" t="str">
        <f>'预评函-2'!B3</f>
        <v>宗地编号/不动产单元号</v>
      </c>
    </row>
    <row r="28" spans="1:48">
      <c r="A28" s="2592" t="s">
        <v>2688</v>
      </c>
      <c r="B28" s="2593" t="str">
        <f>'预评函-2'!B5</f>
        <v>11111111111</v>
      </c>
    </row>
    <row r="29" spans="1:48">
      <c r="A29" s="2592" t="s">
        <v>2714</v>
      </c>
      <c r="B29" s="2593">
        <f>'预评函-2'!C5</f>
        <v>22</v>
      </c>
    </row>
    <row r="30" spans="1:48">
      <c r="A30" s="2592" t="s">
        <v>2715</v>
      </c>
      <c r="B30" s="2593" t="str">
        <f>'预评函-2'!D3</f>
        <v>土地使用证编号/不动产权证书编号</v>
      </c>
    </row>
    <row r="31" spans="1:48">
      <c r="A31" s="2592" t="s">
        <v>2689</v>
      </c>
      <c r="B31" s="2593" t="str">
        <f>'预评函-2'!D5</f>
        <v>京国土字第111号</v>
      </c>
    </row>
    <row r="32" spans="1:48">
      <c r="A32" s="2592" t="s">
        <v>2690</v>
      </c>
      <c r="B32" s="2593">
        <f>'预评函-2'!E5</f>
        <v>0</v>
      </c>
      <c r="AV32" s="2597"/>
    </row>
    <row r="33" spans="1:2">
      <c r="A33" s="2592" t="s">
        <v>2691</v>
      </c>
      <c r="B33" s="2593">
        <f>'预评函-2'!F5</f>
        <v>258</v>
      </c>
    </row>
    <row r="34" spans="1:2">
      <c r="A34" s="2592" t="s">
        <v>2692</v>
      </c>
      <c r="B34" s="2593">
        <f>'预评函-2'!G5</f>
        <v>0</v>
      </c>
    </row>
    <row r="35" spans="1:2">
      <c r="A35" s="2592" t="s">
        <v>2693</v>
      </c>
      <c r="B35" s="2593">
        <f>'预评函-2'!H5</f>
        <v>1.5</v>
      </c>
    </row>
    <row r="36" spans="1:2">
      <c r="A36" s="2592" t="s">
        <v>2694</v>
      </c>
      <c r="B36" s="2593">
        <f>'预评函-2'!I5</f>
        <v>1.5</v>
      </c>
    </row>
    <row r="37" spans="1:2">
      <c r="A37" s="2592" t="s">
        <v>2695</v>
      </c>
      <c r="B37" s="2593">
        <f>'预评函-2'!J5</f>
        <v>1.5</v>
      </c>
    </row>
    <row r="38" spans="1:2">
      <c r="A38" s="2592" t="s">
        <v>2696</v>
      </c>
      <c r="B38" s="2593" t="str">
        <f>'预评函-2'!K5</f>
        <v>红线外七通、宗地红线内</v>
      </c>
    </row>
    <row r="39" spans="1:2">
      <c r="A39" s="2592" t="s">
        <v>2697</v>
      </c>
      <c r="B39" s="2593" t="str">
        <f>'预评函-2'!L5</f>
        <v>红线外七通、宗地红线内场地</v>
      </c>
    </row>
    <row r="40" spans="1:2">
      <c r="A40" s="2592" t="s">
        <v>2716</v>
      </c>
      <c r="B40" s="2593" t="str">
        <f>'预评函-2'!M3</f>
        <v>（剩余）土地使用年限/年</v>
      </c>
    </row>
    <row r="41" spans="1:2">
      <c r="A41" s="2592" t="s">
        <v>2698</v>
      </c>
      <c r="B41" s="2593" t="str">
        <f>'预评函-2'!M5</f>
        <v>——</v>
      </c>
    </row>
    <row r="42" spans="1:2">
      <c r="A42" s="2592" t="s">
        <v>2717</v>
      </c>
      <c r="B42" s="2593" t="str">
        <f>'预评函-2'!N3</f>
        <v>（分摊）国有建设用地使用权面积/㎡</v>
      </c>
    </row>
    <row r="43" spans="1:2">
      <c r="A43" s="2592" t="s">
        <v>2699</v>
      </c>
      <c r="B43" s="2593">
        <f>'预评函-2'!N5</f>
        <v>5500.65</v>
      </c>
    </row>
    <row r="44" spans="1:2">
      <c r="A44" s="2592" t="s">
        <v>2718</v>
      </c>
      <c r="B44" s="2593" t="str">
        <f>'预评函-2'!O3</f>
        <v>规划建筑面积/㎡</v>
      </c>
    </row>
    <row r="45" spans="1:2">
      <c r="A45" s="2592" t="s">
        <v>2700</v>
      </c>
      <c r="B45" s="2593">
        <f>'预评函-2'!O5</f>
        <v>30803.628000000001</v>
      </c>
    </row>
    <row r="46" spans="1:2">
      <c r="A46" s="2592" t="s">
        <v>2701</v>
      </c>
      <c r="B46" s="2593">
        <f ca="1">'预评函-2'!P5</f>
        <v>36234</v>
      </c>
    </row>
    <row r="47" spans="1:2">
      <c r="A47" s="2592" t="s">
        <v>2702</v>
      </c>
      <c r="B47" s="2593">
        <f ca="1">'预评函-2'!Q5</f>
        <v>6470</v>
      </c>
    </row>
    <row r="48" spans="1:2">
      <c r="A48" s="2592" t="s">
        <v>2703</v>
      </c>
      <c r="B48" s="2593">
        <f ca="1">'预评函-2'!R5</f>
        <v>19931</v>
      </c>
    </row>
    <row r="49" spans="1:2">
      <c r="A49" s="2592" t="s">
        <v>2719</v>
      </c>
      <c r="B49" s="2593" t="str">
        <f>'预评函-2'!A6</f>
        <v>抵押价格</v>
      </c>
    </row>
    <row r="50" spans="1:2">
      <c r="A50" s="2592" t="s">
        <v>2704</v>
      </c>
      <c r="B50" s="2593" t="str">
        <f>'预评函-2'!R6</f>
        <v>——</v>
      </c>
    </row>
    <row r="51" spans="1:2">
      <c r="A51" s="2592" t="s">
        <v>2720</v>
      </c>
      <c r="B51" s="2593" t="str">
        <f>'预评函-2'!A7</f>
        <v>——</v>
      </c>
    </row>
    <row r="52" spans="1:2">
      <c r="A52" s="2592" t="s">
        <v>2705</v>
      </c>
      <c r="B52" s="2593" t="str">
        <f>'预评函-2'!R7</f>
        <v>——</v>
      </c>
    </row>
    <row r="53" spans="1:2">
      <c r="A53" s="2592" t="s">
        <v>2721</v>
      </c>
      <c r="B53" s="2593">
        <f>'预评函-2'!A8</f>
        <v>0</v>
      </c>
    </row>
    <row r="54" spans="1:2" s="2607" customFormat="1" ht="15" thickBot="1">
      <c r="A54" s="2614" t="s">
        <v>2706</v>
      </c>
      <c r="B54" s="2615" t="str">
        <f>'预评函-2'!R8</f>
        <v>——</v>
      </c>
    </row>
    <row r="55" spans="1:2" ht="15" thickTop="1">
      <c r="A55" s="2603" t="s">
        <v>2656</v>
      </c>
      <c r="B55" s="2604" t="str">
        <f>'预评函-3'!A2</f>
        <v>1.权利限制：根据估价对象《不动产权证书》原件、《国有土地使用权》复印件，截至估价期日，估价对象抵押权未见登记。未设定租赁等其他他项权利。</v>
      </c>
    </row>
    <row r="56" spans="1:2">
      <c r="A56" s="2592" t="s">
        <v>2657</v>
      </c>
      <c r="B56" s="2593" t="str">
        <f>'预评函-3'!A3</f>
        <v>2.基础设施条件：估价对象实际开发程度为红线外七通、宗地红线内；本次评估设定开发程度为红线外七通、宗地红线内场地。</v>
      </c>
    </row>
    <row r="57" spans="1:2">
      <c r="A57" s="2592" t="s">
        <v>2658</v>
      </c>
      <c r="B57" s="2593" t="str">
        <f>'预评函-3'!A4</f>
        <v>3.估价规划限制条件：详见《建设工程规划许可证》[]、《出让合同》[]。</v>
      </c>
    </row>
    <row r="58" spans="1:2" s="2607" customFormat="1" ht="15" thickBot="1">
      <c r="A58" s="2614" t="s">
        <v>2707</v>
      </c>
      <c r="B58" s="2615" t="str">
        <f>'预评函-3'!A5</f>
        <v>4.影响价格的其他限定条件：无。</v>
      </c>
    </row>
    <row r="59" spans="1:2" ht="15" thickTop="1">
      <c r="A59" s="2603" t="s">
        <v>2659</v>
      </c>
      <c r="B59" s="2604" t="str">
        <f>'预评函-3'!A8</f>
        <v>2.本次评估设定估价对象宗地权属无争议，未被查封或者以其他形式限制其房地产权利，未设定抵押权等他项权利，不涉及第三方权利义务。</v>
      </c>
    </row>
    <row r="60" spans="1:2">
      <c r="A60" s="2592" t="s">
        <v>2660</v>
      </c>
      <c r="B60" s="2593" t="str">
        <f>'预评函-3'!A9</f>
        <v>——</v>
      </c>
    </row>
    <row r="61" spans="1:2">
      <c r="A61" s="2592" t="s">
        <v>2662</v>
      </c>
      <c r="B61" s="2593" t="str">
        <f>'预评函-3'!A10</f>
        <v>——</v>
      </c>
    </row>
    <row r="62" spans="1:2">
      <c r="A62" s="2592" t="s">
        <v>2661</v>
      </c>
      <c r="B62" s="2593" t="str">
        <f>'预评函-3'!A11</f>
        <v>——</v>
      </c>
    </row>
    <row r="63" spans="1:2">
      <c r="A63" s="2592" t="s">
        <v>2663</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2664</v>
      </c>
      <c r="B64" s="2598" t="str">
        <f>'预评函-3'!A13</f>
        <v>（3）。</v>
      </c>
    </row>
    <row r="65" spans="1:2">
      <c r="A65" s="2592" t="s">
        <v>2665</v>
      </c>
      <c r="B65" s="2599" t="str">
        <f>'预评函-3'!A14</f>
        <v>——</v>
      </c>
    </row>
    <row r="66" spans="1:2">
      <c r="A66" s="2592" t="s">
        <v>2666</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2667</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2670</v>
      </c>
      <c r="B68" s="2618">
        <f>'预评函-3'!D30</f>
        <v>42558</v>
      </c>
    </row>
    <row r="69" spans="1:2" ht="15" thickTop="1">
      <c r="A69" s="2603" t="s">
        <v>2668</v>
      </c>
      <c r="B69" s="2604" t="str">
        <f>'预评函-3'!A20</f>
        <v>土地估价师</v>
      </c>
    </row>
    <row r="70" spans="1:2">
      <c r="A70" s="2592" t="s">
        <v>2668</v>
      </c>
      <c r="B70" s="2599">
        <f>'预评函-3'!B20</f>
        <v>0</v>
      </c>
    </row>
    <row r="71" spans="1:2">
      <c r="A71" s="2592" t="s">
        <v>2669</v>
      </c>
      <c r="B71" s="2593" t="str">
        <f>'预评函-3'!A21</f>
        <v>土地估价师</v>
      </c>
    </row>
    <row r="72" spans="1:2" s="2607" customFormat="1" ht="15" thickBot="1">
      <c r="A72" s="2614" t="s">
        <v>2669</v>
      </c>
      <c r="B72" s="2620">
        <f>'预评函-3'!B21</f>
        <v>0</v>
      </c>
    </row>
    <row r="73" spans="1:2" ht="15" thickTop="1">
      <c r="A73" s="2603" t="s">
        <v>2728</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2729</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2730</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2764</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AB58"/>
  <sheetViews>
    <sheetView view="pageBreakPreview" topLeftCell="A2" zoomScale="90" zoomScaleNormal="100" zoomScaleSheetLayoutView="90" workbookViewId="0">
      <selection activeCell="F18" sqref="F18"/>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1"/>
  </cols>
  <sheetData>
    <row r="1" spans="1:21" ht="15" thickBot="1">
      <c r="A1" s="1584" t="s">
        <v>1923</v>
      </c>
      <c r="B1" s="3444" t="str">
        <f>IF(B10="北京市","北京市",C10)&amp;F10&amp;B16&amp;"国有建设用地使用权"&amp;B9&amp;"预评估"</f>
        <v>北京市国有建设用地使用权预评估</v>
      </c>
      <c r="C1" s="3445"/>
      <c r="D1" s="3445"/>
      <c r="E1" s="3445"/>
      <c r="F1" s="3445"/>
      <c r="G1" s="3445"/>
      <c r="H1" s="3445"/>
      <c r="I1" s="3446"/>
      <c r="J1" s="3071"/>
      <c r="K1" s="2307" t="str">
        <f>IF(B10="北京市","北京市",C10)&amp;F10&amp;B16&amp;"国有建设用地使用权"&amp;B9</f>
        <v>北京市国有建设用地使用权</v>
      </c>
      <c r="L1" s="3050"/>
      <c r="M1" s="3050"/>
      <c r="N1" s="3051"/>
      <c r="O1" s="3052"/>
      <c r="P1" s="3051"/>
      <c r="Q1" s="3051"/>
      <c r="R1" s="3051"/>
      <c r="S1" s="3051"/>
      <c r="T1" s="3051"/>
      <c r="U1" s="3051"/>
    </row>
    <row r="2" spans="1:21">
      <c r="A2" s="1585" t="s">
        <v>1924</v>
      </c>
      <c r="B2" s="1752"/>
      <c r="D2" s="3071"/>
      <c r="E2" s="3071"/>
      <c r="F2" s="3071"/>
      <c r="G2" s="3071"/>
      <c r="H2" s="3072"/>
      <c r="I2" s="3073"/>
      <c r="J2" s="3071"/>
      <c r="K2" s="2307" t="str">
        <f>IF(B10="北京市","北京市",C10)&amp;F10&amp;B16&amp;"国有建设用地使用权"</f>
        <v>北京市国有建设用地使用权</v>
      </c>
      <c r="L2" s="3050"/>
      <c r="M2" s="3050"/>
      <c r="N2" s="3051"/>
      <c r="O2" s="3052"/>
      <c r="P2" s="3051"/>
      <c r="Q2" s="3051"/>
      <c r="R2" s="3051"/>
      <c r="S2" s="3051"/>
      <c r="T2" s="3051"/>
      <c r="U2" s="3051"/>
    </row>
    <row r="3" spans="1:21">
      <c r="A3" s="1586" t="s">
        <v>1925</v>
      </c>
      <c r="B3" s="1587"/>
      <c r="C3" s="2994" t="s">
        <v>1981</v>
      </c>
      <c r="D3" s="1587">
        <v>44424</v>
      </c>
      <c r="E3" s="3071"/>
      <c r="F3" s="3071"/>
      <c r="G3" s="3071"/>
      <c r="H3" s="3072"/>
      <c r="I3" s="3073"/>
      <c r="J3" s="3071"/>
      <c r="K3" s="3054"/>
      <c r="L3" s="3050"/>
      <c r="M3" s="3050"/>
      <c r="N3" s="3051"/>
      <c r="O3" s="3052"/>
      <c r="P3" s="3051"/>
      <c r="Q3" s="3051"/>
      <c r="R3" s="3051"/>
      <c r="S3" s="3051"/>
      <c r="T3" s="3051"/>
      <c r="U3" s="3051"/>
    </row>
    <row r="4" spans="1:21" ht="32.25" customHeight="1" thickBot="1">
      <c r="A4" s="1589" t="s">
        <v>1926</v>
      </c>
      <c r="B4" s="1753" t="s">
        <v>2865</v>
      </c>
      <c r="C4" s="1756">
        <f>SUMIF(土地估价师,B4,估价师及机构信息!E3:E16)</f>
        <v>0</v>
      </c>
      <c r="D4" s="1753" t="s">
        <v>2865</v>
      </c>
      <c r="E4" s="1756">
        <f>SUMIF(土地估价师,D4,估价师及机构信息!E3:E16)</f>
        <v>0</v>
      </c>
      <c r="F4" s="1753" t="s">
        <v>941</v>
      </c>
      <c r="G4" s="1756">
        <f>SUMIF(土地估价师,F4,估价师及机构信息!E3:E16)</f>
        <v>0</v>
      </c>
      <c r="H4" s="1753" t="s">
        <v>941</v>
      </c>
      <c r="I4" s="1756">
        <f>SUMIF(土地估价师,H4,估价师及机构信息!E3:E16)</f>
        <v>0</v>
      </c>
      <c r="J4" s="3071"/>
      <c r="K4" s="2307" t="str">
        <f>IF(AND(F4="——",H4="——"),B4&amp;"、"&amp;D4,IF(AND(F4&lt;&gt;"——",H4="——"),B4&amp;"、"&amp;D4&amp;"、"&amp;F4,B4&amp;"、"&amp;D4&amp;"、"&amp;F4&amp;"、"&amp;H4))</f>
        <v>土地估价师、土地估价师</v>
      </c>
      <c r="L4" s="3050"/>
      <c r="M4" s="3050"/>
      <c r="N4" s="3051"/>
      <c r="O4" s="3052"/>
      <c r="P4" s="3051"/>
      <c r="Q4" s="3051"/>
      <c r="R4" s="3051"/>
      <c r="S4" s="3051"/>
      <c r="T4" s="3051"/>
      <c r="U4" s="3051"/>
    </row>
    <row r="5" spans="1:21" ht="15" thickTop="1">
      <c r="A5" s="1590" t="s">
        <v>1927</v>
      </c>
      <c r="B5" s="1700"/>
      <c r="C5" s="1591"/>
      <c r="D5" s="1592"/>
      <c r="E5" s="3071"/>
      <c r="F5" s="3071"/>
      <c r="G5" s="3071"/>
      <c r="H5" s="3072"/>
      <c r="I5" s="3073"/>
      <c r="J5" s="3071"/>
      <c r="K5" s="3054"/>
      <c r="L5" s="3050"/>
      <c r="M5" s="3050"/>
      <c r="N5" s="3051"/>
      <c r="O5" s="3052"/>
      <c r="P5" s="3051"/>
      <c r="Q5" s="3051"/>
      <c r="R5" s="3051"/>
      <c r="S5" s="3051"/>
      <c r="T5" s="3051"/>
      <c r="U5" s="3051"/>
    </row>
    <row r="6" spans="1:21" ht="26.25">
      <c r="A6" s="1588" t="s">
        <v>2684</v>
      </c>
      <c r="B6" s="1700"/>
      <c r="C6" s="1675"/>
      <c r="D6" s="1593"/>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4" t="s">
        <v>2685</v>
      </c>
      <c r="B7" s="1700"/>
      <c r="C7" s="1675"/>
      <c r="D7" s="1593"/>
      <c r="E7" s="3071"/>
      <c r="F7" s="3071"/>
      <c r="G7" s="3071"/>
      <c r="H7" s="3072"/>
      <c r="I7" s="3073"/>
      <c r="J7" s="3071"/>
      <c r="K7" s="3054"/>
      <c r="L7" s="3050"/>
      <c r="M7" s="3050"/>
      <c r="N7" s="3051"/>
      <c r="O7" s="3052"/>
      <c r="P7" s="3051"/>
      <c r="Q7" s="3051"/>
      <c r="R7" s="3051"/>
      <c r="S7" s="3051"/>
      <c r="T7" s="3051"/>
      <c r="U7" s="3051"/>
    </row>
    <row r="8" spans="1:21">
      <c r="A8" s="2995" t="s">
        <v>1928</v>
      </c>
      <c r="B8" s="1595" t="s">
        <v>3040</v>
      </c>
      <c r="C8" s="1596"/>
      <c r="D8" s="3450" t="s">
        <v>1930</v>
      </c>
      <c r="E8" s="1754"/>
      <c r="F8" s="1597"/>
      <c r="G8" s="3072"/>
      <c r="H8" s="3072"/>
      <c r="I8" s="3075"/>
      <c r="J8" s="3071"/>
      <c r="K8" s="3054"/>
      <c r="L8" s="3050"/>
      <c r="M8" s="3050"/>
      <c r="N8" s="3051"/>
      <c r="O8" s="3052"/>
      <c r="P8" s="3051"/>
      <c r="Q8" s="3051"/>
      <c r="R8" s="3051"/>
      <c r="S8" s="3051"/>
      <c r="T8" s="3051"/>
      <c r="U8" s="3051"/>
    </row>
    <row r="9" spans="1:21" ht="15" thickBot="1">
      <c r="A9" s="2996" t="s">
        <v>1929</v>
      </c>
      <c r="B9" s="1598"/>
      <c r="C9" s="1599"/>
      <c r="D9" s="3451"/>
      <c r="E9" s="1598"/>
      <c r="F9" s="1661"/>
      <c r="G9" s="3076"/>
      <c r="H9" s="3076"/>
      <c r="I9" s="3077"/>
      <c r="J9" s="3071"/>
      <c r="K9" s="3054"/>
      <c r="L9" s="3050"/>
      <c r="M9" s="3050"/>
      <c r="N9" s="3051"/>
      <c r="O9" s="3052"/>
      <c r="P9" s="3051"/>
      <c r="Q9" s="3051"/>
      <c r="R9" s="3051"/>
      <c r="S9" s="3051"/>
      <c r="T9" s="3051"/>
      <c r="U9" s="3051"/>
    </row>
    <row r="10" spans="1:21" ht="15" thickTop="1">
      <c r="A10" s="2997" t="s">
        <v>1985</v>
      </c>
      <c r="B10" s="1637" t="s">
        <v>1931</v>
      </c>
      <c r="C10" s="1600"/>
      <c r="D10" s="1592"/>
      <c r="E10" s="1601" t="s">
        <v>1932</v>
      </c>
      <c r="F10" s="1602"/>
      <c r="G10" s="1659"/>
      <c r="H10" s="1660"/>
      <c r="I10" s="1592"/>
      <c r="J10" s="3071"/>
      <c r="K10" s="3054"/>
      <c r="L10" s="3050"/>
      <c r="M10" s="3050"/>
      <c r="N10" s="3051"/>
      <c r="O10" s="3052"/>
      <c r="P10" s="3051"/>
      <c r="Q10" s="3051"/>
      <c r="R10" s="3051"/>
      <c r="S10" s="3051"/>
      <c r="T10" s="3051"/>
      <c r="U10" s="3051"/>
    </row>
    <row r="11" spans="1:21">
      <c r="A11" s="2998" t="s">
        <v>1986</v>
      </c>
      <c r="B11" s="1617"/>
      <c r="C11" s="1603"/>
      <c r="D11" s="1676"/>
      <c r="E11" s="3070"/>
      <c r="F11" s="3070"/>
      <c r="G11" s="3070"/>
      <c r="H11" s="3070"/>
      <c r="I11" s="3070"/>
      <c r="J11" s="3071"/>
      <c r="K11" s="3054"/>
      <c r="L11" s="3050"/>
      <c r="M11" s="3050"/>
      <c r="N11" s="3051"/>
      <c r="O11" s="3052"/>
      <c r="P11" s="3051"/>
      <c r="Q11" s="3051"/>
      <c r="R11" s="3051"/>
      <c r="S11" s="3051"/>
      <c r="T11" s="3051"/>
      <c r="U11" s="3051"/>
    </row>
    <row r="12" spans="1:21">
      <c r="A12" s="1696" t="s">
        <v>2044</v>
      </c>
      <c r="B12" s="3447"/>
      <c r="C12" s="3448"/>
      <c r="D12" s="3449"/>
      <c r="E12" s="1618" t="s">
        <v>2047</v>
      </c>
      <c r="F12" s="3465" t="s">
        <v>2866</v>
      </c>
      <c r="G12" s="3466"/>
      <c r="H12" s="3466"/>
      <c r="I12" s="3467"/>
      <c r="J12" s="3071"/>
      <c r="K12" s="3054"/>
      <c r="L12" s="3050"/>
      <c r="M12" s="3050"/>
      <c r="N12" s="3051"/>
      <c r="O12" s="3052"/>
      <c r="P12" s="3051"/>
      <c r="Q12" s="3051"/>
      <c r="R12" s="3051"/>
      <c r="S12" s="3051"/>
      <c r="T12" s="3051"/>
      <c r="U12" s="3051"/>
    </row>
    <row r="13" spans="1:21">
      <c r="A13" s="1609" t="s">
        <v>2045</v>
      </c>
      <c r="B13" s="3447"/>
      <c r="C13" s="3448"/>
      <c r="D13" s="3449"/>
      <c r="E13" s="1618" t="s">
        <v>2047</v>
      </c>
      <c r="F13" s="3465" t="s">
        <v>2867</v>
      </c>
      <c r="G13" s="3466"/>
      <c r="H13" s="3466"/>
      <c r="I13" s="3467"/>
      <c r="J13" s="3071"/>
      <c r="K13" s="3054"/>
      <c r="L13" s="3050"/>
      <c r="M13" s="3050"/>
      <c r="N13" s="3051"/>
      <c r="O13" s="3052"/>
      <c r="P13" s="3051"/>
      <c r="Q13" s="3051"/>
      <c r="R13" s="3051"/>
      <c r="S13" s="3051"/>
      <c r="T13" s="3051"/>
      <c r="U13" s="3051"/>
    </row>
    <row r="14" spans="1:21">
      <c r="A14" s="1586" t="s">
        <v>2048</v>
      </c>
      <c r="B14" s="1618"/>
      <c r="C14" s="1755"/>
      <c r="D14" s="1651" t="str">
        <f>IF(C14="不一致","是否符合证载地类范围","")</f>
        <v/>
      </c>
      <c r="E14" s="1618"/>
      <c r="F14" s="1701"/>
      <c r="G14" s="1646"/>
      <c r="H14" s="1646"/>
      <c r="I14" s="1748"/>
      <c r="J14" s="3071"/>
      <c r="K14" s="3054"/>
      <c r="L14" s="3050"/>
      <c r="M14" s="3050"/>
      <c r="N14" s="3051"/>
      <c r="O14" s="3052"/>
      <c r="P14" s="3051"/>
      <c r="Q14" s="3051"/>
      <c r="R14" s="3051"/>
      <c r="S14" s="3051"/>
      <c r="T14" s="3051"/>
      <c r="U14" s="3051"/>
    </row>
    <row r="15" spans="1:21" hidden="1">
      <c r="A15" s="2484"/>
      <c r="B15" s="1588"/>
      <c r="C15" s="1588"/>
      <c r="D15" s="1680" t="s">
        <v>1935</v>
      </c>
      <c r="E15" s="1680" t="s">
        <v>1936</v>
      </c>
      <c r="F15" s="1680" t="s">
        <v>1937</v>
      </c>
      <c r="G15" s="1608" t="s">
        <v>1938</v>
      </c>
      <c r="H15" s="1608" t="s">
        <v>1939</v>
      </c>
      <c r="I15" s="1608" t="s">
        <v>1940</v>
      </c>
      <c r="J15" s="3071"/>
      <c r="K15" s="3054"/>
      <c r="L15" s="3050"/>
      <c r="M15" s="3050"/>
      <c r="N15" s="3051"/>
      <c r="O15" s="3052"/>
      <c r="P15" s="3051"/>
      <c r="Q15" s="3051"/>
      <c r="R15" s="3051"/>
      <c r="S15" s="3051"/>
      <c r="T15" s="3051"/>
      <c r="U15" s="3051"/>
    </row>
    <row r="16" spans="1:21" ht="28.5">
      <c r="A16" s="2999" t="s">
        <v>1933</v>
      </c>
      <c r="B16" s="1604"/>
      <c r="C16" s="1618" t="s">
        <v>1934</v>
      </c>
      <c r="D16" s="2485" t="s">
        <v>1935</v>
      </c>
      <c r="E16" s="1640" t="s">
        <v>3028</v>
      </c>
      <c r="F16" s="1640" t="s">
        <v>1665</v>
      </c>
      <c r="G16" s="1640"/>
      <c r="H16" s="1640"/>
      <c r="I16" s="1608" t="s">
        <v>1940</v>
      </c>
      <c r="J16" s="3071"/>
      <c r="K16" s="2308" t="str">
        <f>IF(D17="","",D16&amp;TEXT(D17,"yyyy年m月d日;;"))</f>
        <v>住宅2091年8月21日</v>
      </c>
      <c r="L16" s="1618" t="str">
        <f>IF(OR(K16="",M16=""),"","、")</f>
        <v>、</v>
      </c>
      <c r="M16" s="2308" t="str">
        <f>IF(E17="","",E16&amp;TEXT(E17,"yyyy年m月d日;;"))</f>
        <v>商业2061年8月21日</v>
      </c>
      <c r="N16" s="1618" t="str">
        <f>IF(OR(M16="",O16=""),"","、")</f>
        <v>、</v>
      </c>
      <c r="O16" s="2308" t="str">
        <f>IF(F17="","",F16&amp;TEXT(F17,"yyyy年m月d日;;"))</f>
        <v>办公2071年8月21日</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7"/>
      <c r="B17" s="1605"/>
      <c r="C17" s="3000" t="s">
        <v>1941</v>
      </c>
      <c r="D17" s="3273">
        <v>69996</v>
      </c>
      <c r="E17" s="3273">
        <v>59039</v>
      </c>
      <c r="F17" s="3273">
        <v>62691</v>
      </c>
      <c r="G17" s="3273"/>
      <c r="H17" s="3273"/>
      <c r="I17" s="3273"/>
      <c r="J17" s="3071"/>
      <c r="K17" s="3049" t="str">
        <f>CONCATENATE(K16,L16,M16,N16,O16,P16,Q16,R16,S16,T16,,U16)</f>
        <v>住宅2091年8月21日、商业2061年8月21日、办公2071年8月21日</v>
      </c>
      <c r="L17" s="3050"/>
      <c r="M17" s="3050"/>
      <c r="N17" s="3051"/>
      <c r="O17" s="3052"/>
      <c r="P17" s="3051"/>
      <c r="Q17" s="3051"/>
      <c r="R17" s="3051"/>
      <c r="S17" s="3051"/>
      <c r="T17" s="3051"/>
      <c r="U17" s="3051"/>
    </row>
    <row r="18" spans="1:21">
      <c r="A18" s="1677"/>
      <c r="B18" s="1605"/>
      <c r="C18" s="3000" t="s">
        <v>1942</v>
      </c>
      <c r="D18" s="1606">
        <v>70</v>
      </c>
      <c r="E18" s="1606">
        <v>40</v>
      </c>
      <c r="F18" s="1606">
        <v>50</v>
      </c>
      <c r="G18" s="1606"/>
      <c r="H18" s="1606"/>
      <c r="I18" s="1606"/>
      <c r="J18" s="3071"/>
      <c r="K18" s="3054"/>
      <c r="L18" s="3050"/>
      <c r="M18" s="3050"/>
      <c r="N18" s="3051"/>
      <c r="O18" s="3052"/>
      <c r="P18" s="3051"/>
      <c r="Q18" s="3051"/>
      <c r="R18" s="3051"/>
      <c r="S18" s="3051"/>
      <c r="T18" s="3051"/>
      <c r="U18" s="3051"/>
    </row>
    <row r="19" spans="1:21">
      <c r="A19" s="1677"/>
      <c r="B19" s="1605"/>
      <c r="C19" s="1585" t="s">
        <v>1943</v>
      </c>
      <c r="D19" s="1672">
        <f>IF(B16="出让",IF(D17="","",ROUNDDOWN(MIN((D17-$D$3)/365,D18),2)),D18)</f>
        <v>70</v>
      </c>
      <c r="E19" s="1607">
        <f>IF(B16="出让",IF(E17="","",ROUNDDOWN(MIN((E17-$D$3)/365,E18),2)),E18)</f>
        <v>40</v>
      </c>
      <c r="F19" s="1607">
        <f>IF(B16="出让",IF(F17="","",ROUNDDOWN(MIN((F17-$D$3)/365,F18),2)),F18)</f>
        <v>50</v>
      </c>
      <c r="G19" s="1607">
        <f>IF(B16="出让",IF(G17="","",ROUNDDOWN(MIN((G17-$D$3)/365,G18),2)),G18)</f>
        <v>0</v>
      </c>
      <c r="H19" s="1607">
        <f>IF(B16="出让",IF(H17="","",ROUNDDOWN(MIN((H17-$D$3)/365,H18),2)),H18)</f>
        <v>0</v>
      </c>
      <c r="I19" s="1607">
        <f>IF(B16="出让",IF(I17="","",ROUNDDOWN(MIN((I17-$D$3)/365,I18),2)),I18)</f>
        <v>0</v>
      </c>
      <c r="J19" s="3071"/>
      <c r="K19" s="3054"/>
      <c r="L19" s="3050"/>
      <c r="M19" s="3050"/>
      <c r="N19" s="3051"/>
      <c r="O19" s="3052"/>
      <c r="P19" s="3051"/>
      <c r="Q19" s="3051"/>
      <c r="R19" s="3051"/>
      <c r="S19" s="3051"/>
      <c r="T19" s="3051"/>
      <c r="U19" s="3051"/>
    </row>
    <row r="20" spans="1:21">
      <c r="A20" s="1697"/>
      <c r="B20" s="1698"/>
      <c r="C20" s="1699" t="s">
        <v>2046</v>
      </c>
      <c r="D20" s="3462"/>
      <c r="E20" s="3463"/>
      <c r="F20" s="3463"/>
      <c r="G20" s="3463"/>
      <c r="H20" s="3463"/>
      <c r="I20" s="3464"/>
      <c r="J20" s="3071"/>
      <c r="K20" s="3054"/>
      <c r="L20" s="3050"/>
      <c r="M20" s="3050"/>
      <c r="N20" s="3051"/>
      <c r="O20" s="3052"/>
      <c r="P20" s="3051"/>
      <c r="Q20" s="3051"/>
      <c r="R20" s="3051"/>
      <c r="S20" s="3051"/>
      <c r="T20" s="3051"/>
      <c r="U20" s="3051"/>
    </row>
    <row r="21" spans="1:21">
      <c r="A21" s="1677" t="s">
        <v>1944</v>
      </c>
      <c r="B21" s="1678" t="s">
        <v>1945</v>
      </c>
      <c r="C21" s="1673">
        <f>'数据-汇总表'!E3</f>
        <v>30803.628000000001</v>
      </c>
      <c r="D21" s="1674" t="s">
        <v>1946</v>
      </c>
      <c r="E21" s="3452" t="s">
        <v>1984</v>
      </c>
      <c r="F21" s="3453"/>
      <c r="G21" s="3453"/>
      <c r="H21" s="3453"/>
      <c r="I21" s="3454"/>
      <c r="J21" s="3071"/>
      <c r="K21" s="3054"/>
      <c r="L21" s="3050"/>
      <c r="M21" s="3050"/>
      <c r="N21" s="3051"/>
      <c r="O21" s="3052"/>
      <c r="P21" s="3051"/>
      <c r="Q21" s="3051"/>
      <c r="R21" s="3051"/>
      <c r="S21" s="3051"/>
      <c r="T21" s="3051"/>
      <c r="U21" s="3051"/>
    </row>
    <row r="22" spans="1:21">
      <c r="A22" s="2799" t="s">
        <v>941</v>
      </c>
      <c r="B22" s="1586" t="s">
        <v>1947</v>
      </c>
      <c r="C22" s="1608">
        <f>'数据-汇总表'!D3</f>
        <v>5500.65</v>
      </c>
      <c r="D22" s="1609" t="s">
        <v>1946</v>
      </c>
      <c r="E22" s="3452" t="s">
        <v>2868</v>
      </c>
      <c r="F22" s="3453"/>
      <c r="G22" s="3453"/>
      <c r="H22" s="3453"/>
      <c r="I22" s="3454"/>
      <c r="J22" s="3071"/>
      <c r="K22" s="3054"/>
      <c r="L22" s="3050"/>
      <c r="M22" s="3050"/>
      <c r="N22" s="3051"/>
      <c r="O22" s="3052"/>
      <c r="P22" s="3051"/>
      <c r="Q22" s="3051"/>
      <c r="R22" s="3051"/>
      <c r="S22" s="3051"/>
      <c r="T22" s="3051"/>
      <c r="U22" s="3051"/>
    </row>
    <row r="23" spans="1:21" ht="43.5" thickBot="1">
      <c r="A23" s="1679" t="s">
        <v>1948</v>
      </c>
      <c r="B23" s="1619" t="s">
        <v>1949</v>
      </c>
      <c r="C23" s="1620"/>
      <c r="D23" s="1621" t="s">
        <v>1950</v>
      </c>
      <c r="E23" s="1622"/>
      <c r="F23" s="1623" t="str">
        <f>IF(AND(C23="是",E23="否"),"是否提供他项权证或相关说明","")</f>
        <v/>
      </c>
      <c r="G23" s="1624"/>
      <c r="H23" s="3071"/>
      <c r="I23" s="3075"/>
      <c r="J23" s="3071"/>
      <c r="K23" s="3054"/>
      <c r="L23" s="3050"/>
      <c r="M23" s="3050"/>
      <c r="N23" s="3051"/>
      <c r="O23" s="3052"/>
      <c r="P23" s="3051"/>
      <c r="Q23" s="3051"/>
      <c r="R23" s="3051"/>
      <c r="S23" s="3051"/>
      <c r="T23" s="3051"/>
      <c r="U23" s="3051"/>
    </row>
    <row r="24" spans="1:21">
      <c r="A24" s="1664" t="s">
        <v>1951</v>
      </c>
      <c r="B24" s="3455" t="s">
        <v>1952</v>
      </c>
      <c r="C24" s="3456"/>
      <c r="D24" s="3457" t="s">
        <v>1953</v>
      </c>
      <c r="E24" s="3458"/>
      <c r="F24" s="1626" t="s">
        <v>1954</v>
      </c>
      <c r="G24" s="3071"/>
      <c r="H24" s="3071"/>
      <c r="I24" s="3075"/>
      <c r="J24" s="3071"/>
      <c r="K24" s="3443" t="s">
        <v>1955</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51"/>
      <c r="O24" s="3052"/>
      <c r="P24" s="3051"/>
      <c r="Q24" s="3051"/>
      <c r="R24" s="3051"/>
      <c r="S24" s="3051"/>
      <c r="T24" s="3051"/>
      <c r="U24" s="3051"/>
    </row>
    <row r="25" spans="1:21" ht="28.5">
      <c r="A25" s="1665"/>
      <c r="B25" s="1662" t="s">
        <v>2310</v>
      </c>
      <c r="C25" s="1627" t="s">
        <v>1956</v>
      </c>
      <c r="D25" s="1628"/>
      <c r="E25" s="1629" t="s">
        <v>941</v>
      </c>
      <c r="F25" s="1630"/>
      <c r="G25" s="3071"/>
      <c r="H25" s="3071"/>
      <c r="I25" s="3075"/>
      <c r="J25" s="3071"/>
      <c r="K25" s="3443"/>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51"/>
      <c r="O25" s="3052"/>
      <c r="P25" s="3051"/>
      <c r="Q25" s="3051"/>
      <c r="R25" s="3051"/>
      <c r="S25" s="3051"/>
      <c r="T25" s="3051"/>
      <c r="U25" s="3051"/>
    </row>
    <row r="26" spans="1:21" ht="29.25" thickBot="1">
      <c r="A26" s="1666"/>
      <c r="B26" s="1663" t="s">
        <v>1957</v>
      </c>
      <c r="C26" s="1627" t="s">
        <v>2311</v>
      </c>
      <c r="D26" s="3072"/>
      <c r="E26" s="3072"/>
      <c r="F26" s="3078"/>
      <c r="G26" s="3071"/>
      <c r="H26" s="3071"/>
      <c r="I26" s="3075"/>
      <c r="J26" s="3071"/>
      <c r="K26" s="3443"/>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1"/>
      <c r="O26" s="3052"/>
      <c r="P26" s="3051"/>
      <c r="Q26" s="3051"/>
      <c r="R26" s="3051"/>
      <c r="S26" s="3051"/>
      <c r="T26" s="3051"/>
      <c r="U26" s="3051"/>
    </row>
    <row r="27" spans="1:21">
      <c r="A27" s="1669" t="s">
        <v>1958</v>
      </c>
      <c r="B27" s="1667" t="s">
        <v>1959</v>
      </c>
      <c r="C27" s="1631"/>
      <c r="D27" s="2490" t="s">
        <v>1959</v>
      </c>
      <c r="E27" s="1632"/>
      <c r="F27" s="3078"/>
      <c r="G27" s="3071"/>
      <c r="H27" s="3071"/>
      <c r="I27" s="3075"/>
      <c r="J27" s="3071"/>
      <c r="K27" s="3054"/>
      <c r="L27" s="3050"/>
      <c r="M27" s="3050"/>
      <c r="N27" s="3051"/>
      <c r="O27" s="3052"/>
      <c r="P27" s="3051"/>
      <c r="Q27" s="3051"/>
      <c r="R27" s="3051"/>
      <c r="S27" s="3051"/>
      <c r="T27" s="3051"/>
      <c r="U27" s="3051"/>
    </row>
    <row r="28" spans="1:21">
      <c r="A28" s="1670"/>
      <c r="B28" s="1667" t="s">
        <v>1960</v>
      </c>
      <c r="C28" s="1633"/>
      <c r="D28" s="2491" t="s">
        <v>1960</v>
      </c>
      <c r="E28" s="1634"/>
      <c r="F28" s="3078"/>
      <c r="G28" s="3071"/>
      <c r="H28" s="3071"/>
      <c r="I28" s="3075"/>
      <c r="J28" s="3071"/>
      <c r="K28" s="3054"/>
      <c r="L28" s="3050"/>
      <c r="M28" s="3050"/>
      <c r="N28" s="3051"/>
      <c r="O28" s="3052"/>
      <c r="P28" s="3051"/>
      <c r="Q28" s="3051"/>
      <c r="R28" s="3051"/>
      <c r="S28" s="3051"/>
      <c r="T28" s="3051"/>
      <c r="U28" s="3051"/>
    </row>
    <row r="29" spans="1:21">
      <c r="A29" s="1670"/>
      <c r="B29" s="1667" t="s">
        <v>1961</v>
      </c>
      <c r="C29" s="1633"/>
      <c r="D29" s="2491" t="s">
        <v>1961</v>
      </c>
      <c r="E29" s="1634"/>
      <c r="F29" s="3078"/>
      <c r="G29" s="3071"/>
      <c r="H29" s="3071"/>
      <c r="I29" s="3075"/>
      <c r="J29" s="3071"/>
      <c r="K29" s="3054"/>
      <c r="L29" s="3050"/>
      <c r="M29" s="3050"/>
      <c r="N29" s="3051"/>
      <c r="O29" s="3052"/>
      <c r="P29" s="3051"/>
      <c r="Q29" s="3051"/>
      <c r="R29" s="3051"/>
      <c r="S29" s="3051"/>
      <c r="T29" s="3051"/>
      <c r="U29" s="3051"/>
    </row>
    <row r="30" spans="1:21" ht="15" thickBot="1">
      <c r="A30" s="1671"/>
      <c r="B30" s="1668" t="s">
        <v>1962</v>
      </c>
      <c r="C30" s="1635"/>
      <c r="D30" s="2492" t="s">
        <v>1962</v>
      </c>
      <c r="E30" s="1636"/>
      <c r="F30" s="3079"/>
      <c r="G30" s="3076"/>
      <c r="H30" s="3076"/>
      <c r="I30" s="3077"/>
      <c r="J30" s="3071"/>
      <c r="K30" s="3054"/>
      <c r="L30" s="3050"/>
      <c r="M30" s="3050"/>
      <c r="N30" s="3051"/>
      <c r="O30" s="3052"/>
      <c r="P30" s="3051"/>
      <c r="Q30" s="3051"/>
      <c r="R30" s="3051"/>
      <c r="S30" s="3051"/>
      <c r="T30" s="3051"/>
      <c r="U30" s="3051"/>
    </row>
    <row r="31" spans="1:21" ht="15" thickTop="1">
      <c r="A31" s="3429" t="s">
        <v>1987</v>
      </c>
      <c r="B31" s="1678" t="s">
        <v>1988</v>
      </c>
      <c r="C31" s="3468"/>
      <c r="D31" s="3469"/>
      <c r="E31" s="3071"/>
      <c r="F31" s="3071"/>
      <c r="G31" s="3071"/>
      <c r="H31" s="3071"/>
      <c r="I31" s="3075"/>
      <c r="J31" s="3071"/>
      <c r="K31" s="3057"/>
      <c r="L31" s="3051"/>
      <c r="M31" s="3051"/>
      <c r="N31" s="3051"/>
      <c r="O31" s="3051"/>
      <c r="P31" s="3051"/>
      <c r="Q31" s="3051"/>
      <c r="R31" s="3051"/>
      <c r="S31" s="3051"/>
      <c r="T31" s="3051"/>
      <c r="U31" s="3051"/>
    </row>
    <row r="32" spans="1:21">
      <c r="A32" s="3429"/>
      <c r="B32" s="1586" t="s">
        <v>1989</v>
      </c>
      <c r="C32" s="1637"/>
      <c r="D32" s="1638"/>
      <c r="E32" s="3071"/>
      <c r="F32" s="3071"/>
      <c r="G32" s="3071"/>
      <c r="H32" s="3071"/>
      <c r="I32" s="3075"/>
      <c r="J32" s="3071"/>
      <c r="K32" s="3057"/>
      <c r="L32" s="3051"/>
      <c r="M32" s="3051"/>
      <c r="N32" s="3051"/>
      <c r="O32" s="3051"/>
      <c r="P32" s="3051"/>
      <c r="Q32" s="3051"/>
      <c r="R32" s="3051"/>
      <c r="S32" s="3051"/>
      <c r="T32" s="3051"/>
      <c r="U32" s="3051"/>
    </row>
    <row r="33" spans="1:28">
      <c r="A33" s="3429"/>
      <c r="B33" s="1586" t="s">
        <v>1990</v>
      </c>
      <c r="C33" s="1639"/>
      <c r="D33" s="1749"/>
      <c r="E33" s="3071"/>
      <c r="F33" s="3071"/>
      <c r="G33" s="3071"/>
      <c r="H33" s="3071"/>
      <c r="I33" s="3075"/>
      <c r="J33" s="3071"/>
      <c r="K33" s="3057"/>
      <c r="L33" s="3051"/>
      <c r="M33" s="3051"/>
      <c r="N33" s="3051"/>
      <c r="O33" s="3051"/>
      <c r="P33" s="3051"/>
      <c r="Q33" s="3051"/>
      <c r="R33" s="3051"/>
      <c r="S33" s="3051"/>
      <c r="T33" s="3051"/>
      <c r="U33" s="3051"/>
    </row>
    <row r="34" spans="1:28">
      <c r="A34" s="3430"/>
      <c r="B34" s="1586" t="s">
        <v>1991</v>
      </c>
      <c r="C34" s="3431"/>
      <c r="D34" s="3432"/>
      <c r="E34" s="3071"/>
      <c r="F34" s="3071"/>
      <c r="G34" s="3071"/>
      <c r="H34" s="3071"/>
      <c r="I34" s="3075"/>
      <c r="J34" s="3071"/>
      <c r="K34" s="3057"/>
      <c r="L34" s="3051"/>
      <c r="M34" s="3051"/>
      <c r="N34" s="3051"/>
      <c r="O34" s="3051"/>
      <c r="P34" s="3051"/>
      <c r="Q34" s="3051"/>
      <c r="R34" s="3051"/>
      <c r="S34" s="3051"/>
      <c r="T34" s="3051"/>
      <c r="U34" s="3051"/>
    </row>
    <row r="35" spans="1:28">
      <c r="A35" s="3433" t="s">
        <v>837</v>
      </c>
      <c r="B35" s="1640"/>
      <c r="C35" s="1687" t="str">
        <f>IF(B35="场地平整","——","具体情况：")</f>
        <v>具体情况：</v>
      </c>
      <c r="D35" s="3435"/>
      <c r="E35" s="3436"/>
      <c r="F35" s="3436"/>
      <c r="G35" s="3436"/>
      <c r="H35" s="3436"/>
      <c r="I35" s="3437"/>
      <c r="J35" s="3071"/>
      <c r="K35" s="3058"/>
      <c r="L35" s="3050"/>
      <c r="M35" s="3050"/>
      <c r="N35" s="3051"/>
      <c r="O35" s="3052"/>
      <c r="P35" s="3051"/>
      <c r="Q35" s="3051"/>
      <c r="R35" s="3051"/>
      <c r="S35" s="3051"/>
      <c r="T35" s="3051"/>
      <c r="U35" s="3051"/>
    </row>
    <row r="36" spans="1:28">
      <c r="A36" s="3429"/>
      <c r="B36" s="3438" t="s">
        <v>2040</v>
      </c>
      <c r="C36" s="3439"/>
      <c r="D36" s="1703"/>
      <c r="E36" s="3440"/>
      <c r="F36" s="3440"/>
      <c r="G36" s="1609" t="str">
        <f>IF(B35="场地未平整","估价结果处理","")</f>
        <v/>
      </c>
      <c r="H36" s="3441"/>
      <c r="I36" s="3441"/>
      <c r="J36" s="3071"/>
      <c r="K36" s="3058"/>
      <c r="L36" s="3050"/>
      <c r="M36" s="3050"/>
      <c r="N36" s="3051"/>
      <c r="O36" s="3052"/>
      <c r="P36" s="3051"/>
      <c r="Q36" s="3051"/>
      <c r="R36" s="3051"/>
      <c r="S36" s="3051"/>
      <c r="T36" s="3051"/>
      <c r="U36" s="3051"/>
    </row>
    <row r="37" spans="1:28" ht="28.5">
      <c r="A37" s="3429"/>
      <c r="B37" s="3459" t="s">
        <v>838</v>
      </c>
      <c r="C37" s="1642" t="s">
        <v>839</v>
      </c>
      <c r="D37" s="1643"/>
      <c r="E37" s="1644"/>
      <c r="F37" s="3071"/>
      <c r="G37" s="3071"/>
      <c r="H37" s="3071"/>
      <c r="I37" s="3075"/>
      <c r="J37" s="3071"/>
      <c r="K37" s="3058"/>
      <c r="L37" s="3051"/>
      <c r="M37" s="3051"/>
      <c r="N37" s="3051"/>
      <c r="O37" s="3051"/>
      <c r="P37" s="3051"/>
      <c r="Q37" s="3051"/>
      <c r="R37" s="3051"/>
      <c r="S37" s="3051"/>
      <c r="T37" s="3051"/>
      <c r="U37" s="3051"/>
    </row>
    <row r="38" spans="1:28">
      <c r="A38" s="3429"/>
      <c r="B38" s="3460"/>
      <c r="C38" s="1594" t="s">
        <v>840</v>
      </c>
      <c r="D38" s="1702">
        <f>ROUNDDOWN(MIN(('数据-取费表'!$B$2-D37)/365,D34),1)</f>
        <v>121.7</v>
      </c>
      <c r="E38" s="1645" t="s">
        <v>841</v>
      </c>
      <c r="F38" s="3071"/>
      <c r="G38" s="3071"/>
      <c r="H38" s="3071"/>
      <c r="I38" s="3075"/>
      <c r="J38" s="3071"/>
      <c r="K38" s="3058"/>
      <c r="L38" s="3051"/>
      <c r="M38" s="3051"/>
      <c r="N38" s="3051"/>
      <c r="O38" s="3051"/>
      <c r="P38" s="3051"/>
      <c r="Q38" s="3051"/>
      <c r="R38" s="3051"/>
      <c r="S38" s="3051"/>
      <c r="T38" s="3051"/>
      <c r="U38" s="3051"/>
    </row>
    <row r="39" spans="1:28">
      <c r="A39" s="3430"/>
      <c r="B39" s="3461"/>
      <c r="C39" s="1616" t="str">
        <f>IF(D38&lt;1,"不存在土地闲置",IF(B35="宗地内已开工建设","已开工，不存在土地闲置","估价对象已涉嫌土地闲置"))</f>
        <v>估价对象已涉嫌土地闲置</v>
      </c>
      <c r="D39" s="1646"/>
      <c r="E39" s="1647"/>
      <c r="F39" s="3071"/>
      <c r="G39" s="3071"/>
      <c r="H39" s="3071"/>
      <c r="I39" s="3075"/>
      <c r="J39" s="3071"/>
      <c r="K39" s="3054"/>
      <c r="L39" s="3050"/>
      <c r="M39" s="3050"/>
      <c r="N39" s="3051"/>
      <c r="O39" s="3052"/>
      <c r="P39" s="3051"/>
      <c r="Q39" s="3051"/>
      <c r="R39" s="3051"/>
      <c r="S39" s="3051"/>
      <c r="T39" s="3051"/>
      <c r="U39" s="3051"/>
    </row>
    <row r="40" spans="1:28">
      <c r="A40" s="1609" t="s">
        <v>1963</v>
      </c>
      <c r="B40" s="1610"/>
      <c r="C40" s="1610"/>
      <c r="D40" s="1610"/>
      <c r="E40" s="1610"/>
      <c r="F40" s="1610"/>
      <c r="G40" s="1610"/>
      <c r="H40" s="1610"/>
      <c r="I40" s="3075"/>
      <c r="J40" s="3071"/>
      <c r="K40" s="3019">
        <f>COUNTIF(B40:H40,"——")</f>
        <v>0</v>
      </c>
      <c r="L40" s="1618" t="s">
        <v>1964</v>
      </c>
      <c r="M40" s="1615" t="s">
        <v>1965</v>
      </c>
      <c r="N40" s="1615" t="s">
        <v>1966</v>
      </c>
      <c r="O40" s="1615" t="s">
        <v>1967</v>
      </c>
      <c r="P40" s="1615" t="s">
        <v>1968</v>
      </c>
      <c r="Q40" s="1615" t="s">
        <v>1969</v>
      </c>
      <c r="R40" s="1615" t="s">
        <v>1970</v>
      </c>
      <c r="S40" s="3442" t="s">
        <v>1971</v>
      </c>
      <c r="T40" s="1649" t="str">
        <f>NUMBERSTRING(7-K40,1)&amp;"通"</f>
        <v>七通</v>
      </c>
      <c r="U40" s="3051"/>
    </row>
    <row r="41" spans="1:28">
      <c r="A41" s="1588"/>
      <c r="B41" s="3434" t="s">
        <v>1709</v>
      </c>
      <c r="C41" s="3434"/>
      <c r="D41" s="3434"/>
      <c r="E41" s="3434"/>
      <c r="F41" s="1650">
        <f>C10</f>
        <v>0</v>
      </c>
      <c r="G41" s="3071"/>
      <c r="H41" s="3071"/>
      <c r="I41" s="3075"/>
      <c r="J41" s="3071"/>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442"/>
      <c r="T41" s="1651" t="str">
        <f>IF(T40="一通",L41,IF(T40="二通",M41,IF(T40="三通",N41,IF(T40="四通",O41,IF(T40="五通",P41,IF(T40="六通",Q41,R41))))))</f>
        <v>、、、、、、</v>
      </c>
      <c r="U41" s="3051"/>
    </row>
    <row r="42" spans="1:28">
      <c r="A42" s="1653"/>
      <c r="B42" s="1680" t="s">
        <v>1885</v>
      </c>
      <c r="C42" s="1680" t="s">
        <v>1886</v>
      </c>
      <c r="D42" s="1680" t="s">
        <v>1887</v>
      </c>
      <c r="E42" s="1618" t="s">
        <v>1888</v>
      </c>
      <c r="F42" s="1654"/>
      <c r="G42" s="3071"/>
      <c r="H42" s="3071"/>
      <c r="I42" s="3075"/>
      <c r="J42" s="3071"/>
      <c r="K42" s="3054"/>
      <c r="L42" s="3050"/>
      <c r="M42" s="3050"/>
      <c r="N42" s="3051"/>
      <c r="O42" s="3052"/>
      <c r="P42" s="3051"/>
      <c r="Q42" s="3051"/>
      <c r="R42" s="3051"/>
      <c r="S42" s="3051"/>
      <c r="T42" s="3051"/>
      <c r="U42" s="3051"/>
    </row>
    <row r="43" spans="1:28">
      <c r="A43" s="3022" t="s">
        <v>1694</v>
      </c>
      <c r="B43" s="1655" t="s">
        <v>1398</v>
      </c>
      <c r="C43" s="1655" t="s">
        <v>1398</v>
      </c>
      <c r="D43" s="1655" t="s">
        <v>1398</v>
      </c>
      <c r="E43" s="1655"/>
      <c r="F43" s="1656"/>
      <c r="G43" s="3071"/>
      <c r="H43" s="3071"/>
      <c r="I43" s="3075"/>
      <c r="J43" s="3071"/>
      <c r="K43" s="3054"/>
      <c r="L43" s="3050"/>
      <c r="M43" s="3050"/>
      <c r="N43" s="3051"/>
      <c r="O43" s="3052"/>
      <c r="P43" s="3051"/>
      <c r="Q43" s="3051"/>
      <c r="R43" s="3051"/>
      <c r="S43" s="3051"/>
      <c r="T43" s="3051"/>
      <c r="U43" s="3051"/>
    </row>
    <row r="44" spans="1:28">
      <c r="A44" s="3022" t="s">
        <v>1695</v>
      </c>
      <c r="B44" s="1655" t="s">
        <v>1304</v>
      </c>
      <c r="C44" s="1655" t="s">
        <v>1304</v>
      </c>
      <c r="D44" s="1655" t="s">
        <v>1304</v>
      </c>
      <c r="E44" s="1703"/>
      <c r="F44" s="1656"/>
      <c r="G44" s="3071"/>
      <c r="H44" s="3071"/>
      <c r="I44" s="3075"/>
      <c r="J44" s="3071"/>
      <c r="K44" s="3054"/>
      <c r="L44" s="3050"/>
      <c r="M44" s="3050"/>
      <c r="N44" s="3051"/>
      <c r="O44" s="3052"/>
      <c r="P44" s="3051"/>
      <c r="Q44" s="3051"/>
      <c r="R44" s="3051"/>
      <c r="S44" s="3051"/>
      <c r="T44" s="3051"/>
      <c r="U44" s="3051"/>
    </row>
    <row r="45" spans="1:28" s="2770" customFormat="1" ht="21" thickBot="1">
      <c r="A45" s="2771" t="s">
        <v>2869</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3"/>
      <c r="B46" s="1613"/>
      <c r="C46" s="1613"/>
      <c r="D46" s="1613"/>
      <c r="E46" s="1613"/>
      <c r="F46" s="1613"/>
      <c r="G46" s="1613"/>
      <c r="H46" s="1613"/>
      <c r="I46" s="1625"/>
      <c r="J46" s="1613"/>
      <c r="K46" s="3054"/>
      <c r="L46" s="3050"/>
      <c r="M46" s="3050"/>
      <c r="N46" s="3051"/>
      <c r="O46" s="3052"/>
      <c r="P46" s="3051"/>
      <c r="Q46" s="3051"/>
      <c r="R46" s="3051"/>
      <c r="S46" s="3051"/>
      <c r="T46" s="3051"/>
      <c r="U46" s="3051"/>
    </row>
    <row r="47" spans="1:28">
      <c r="A47" s="1657" t="s">
        <v>1992</v>
      </c>
      <c r="B47" s="1658"/>
      <c r="C47" s="1647"/>
      <c r="D47" s="1613"/>
      <c r="E47" s="1613"/>
      <c r="F47" s="1613"/>
      <c r="G47" s="1613"/>
      <c r="H47" s="1613"/>
      <c r="I47" s="1614"/>
      <c r="J47" s="1613"/>
      <c r="K47" s="3054"/>
      <c r="L47" s="3050"/>
      <c r="M47" s="3050"/>
      <c r="N47" s="3051"/>
      <c r="O47" s="3052"/>
      <c r="P47" s="3051"/>
      <c r="Q47" s="3051"/>
      <c r="R47" s="3051"/>
      <c r="S47" s="3051"/>
      <c r="T47" s="3051"/>
      <c r="U47" s="3051"/>
    </row>
    <row r="48" spans="1:28" ht="28.5">
      <c r="A48" s="1618" t="s">
        <v>1993</v>
      </c>
      <c r="B48" s="1608" t="s">
        <v>1994</v>
      </c>
      <c r="C48" s="1608" t="s">
        <v>1995</v>
      </c>
      <c r="D48" s="1608" t="s">
        <v>1996</v>
      </c>
      <c r="E48" s="1608" t="s">
        <v>1997</v>
      </c>
      <c r="F48" s="1608" t="s">
        <v>1998</v>
      </c>
      <c r="G48" s="1608" t="s">
        <v>1999</v>
      </c>
      <c r="H48" s="1608" t="s">
        <v>2000</v>
      </c>
      <c r="I48" s="1608" t="s">
        <v>2001</v>
      </c>
      <c r="J48" s="1686" t="s">
        <v>2002</v>
      </c>
      <c r="K48" s="3064" t="s">
        <v>2003</v>
      </c>
      <c r="L48" s="3064" t="s">
        <v>2004</v>
      </c>
      <c r="M48" s="3064" t="s">
        <v>2005</v>
      </c>
      <c r="N48" s="3065" t="s">
        <v>2006</v>
      </c>
      <c r="O48" s="3065" t="s">
        <v>2007</v>
      </c>
      <c r="P48" s="3065" t="s">
        <v>2008</v>
      </c>
      <c r="Q48" s="3056" t="s">
        <v>2009</v>
      </c>
      <c r="R48" s="3056" t="s">
        <v>2010</v>
      </c>
      <c r="S48" s="3051"/>
      <c r="T48" s="3051"/>
      <c r="U48" s="3051"/>
    </row>
    <row r="49" spans="1:21">
      <c r="A49" s="1615"/>
      <c r="B49" s="1648"/>
      <c r="C49" s="1648"/>
      <c r="D49" s="1648"/>
      <c r="E49" s="1648"/>
      <c r="F49" s="1648"/>
      <c r="G49" s="1648"/>
      <c r="H49" s="1648"/>
      <c r="I49" s="1648"/>
      <c r="J49" s="1750"/>
      <c r="K49" s="3066"/>
      <c r="L49" s="3066"/>
      <c r="M49" s="1654"/>
      <c r="N49" s="1654"/>
      <c r="O49" s="1654"/>
      <c r="P49" s="1654"/>
      <c r="Q49" s="1654"/>
      <c r="R49" s="1654"/>
      <c r="S49" s="3051"/>
      <c r="T49" s="3051"/>
      <c r="U49" s="3051"/>
    </row>
    <row r="50" spans="1:21">
      <c r="A50" s="1615"/>
      <c r="B50" s="1615"/>
      <c r="C50" s="1648"/>
      <c r="D50" s="1648"/>
      <c r="E50" s="1648"/>
      <c r="F50" s="1648"/>
      <c r="G50" s="1648"/>
      <c r="H50" s="1648"/>
      <c r="I50" s="1648"/>
      <c r="J50" s="1750"/>
      <c r="K50" s="3066"/>
      <c r="L50" s="3066"/>
      <c r="M50" s="1654"/>
      <c r="N50" s="1654"/>
      <c r="O50" s="1654"/>
      <c r="P50" s="1654"/>
      <c r="Q50" s="1654"/>
      <c r="R50" s="1654"/>
      <c r="S50" s="3051"/>
      <c r="T50" s="3051"/>
      <c r="U50" s="3051"/>
    </row>
    <row r="51" spans="1:21">
      <c r="A51" s="1615"/>
      <c r="B51" s="1615"/>
      <c r="C51" s="1648"/>
      <c r="D51" s="1648"/>
      <c r="E51" s="1648"/>
      <c r="F51" s="1648"/>
      <c r="G51" s="1648"/>
      <c r="H51" s="1648"/>
      <c r="I51" s="1648"/>
      <c r="J51" s="1750"/>
      <c r="K51" s="3066"/>
      <c r="L51" s="3066"/>
      <c r="M51" s="1654"/>
      <c r="N51" s="1654"/>
      <c r="O51" s="1654"/>
      <c r="P51" s="1654"/>
      <c r="Q51" s="1654"/>
      <c r="R51" s="1654"/>
      <c r="S51" s="3051"/>
      <c r="T51" s="3051"/>
      <c r="U51" s="3051"/>
    </row>
    <row r="52" spans="1:21">
      <c r="A52" s="1615"/>
      <c r="B52" s="1615"/>
      <c r="C52" s="1648"/>
      <c r="D52" s="1648"/>
      <c r="E52" s="1648"/>
      <c r="F52" s="1648"/>
      <c r="G52" s="1648"/>
      <c r="H52" s="1648"/>
      <c r="I52" s="1648"/>
      <c r="J52" s="1750"/>
      <c r="K52" s="3066"/>
      <c r="L52" s="3066"/>
      <c r="M52" s="1654"/>
      <c r="N52" s="1654"/>
      <c r="O52" s="1654"/>
      <c r="P52" s="1654"/>
      <c r="Q52" s="1654"/>
      <c r="R52" s="1654"/>
      <c r="S52" s="3051"/>
      <c r="T52" s="3051"/>
      <c r="U52" s="3051"/>
    </row>
    <row r="53" spans="1:21">
      <c r="A53" s="1615"/>
      <c r="B53" s="1615"/>
      <c r="C53" s="1648"/>
      <c r="D53" s="1648"/>
      <c r="E53" s="1648"/>
      <c r="F53" s="1648"/>
      <c r="G53" s="1648"/>
      <c r="H53" s="1648"/>
      <c r="I53" s="1648"/>
      <c r="J53" s="1750"/>
      <c r="K53" s="3066"/>
      <c r="L53" s="3066"/>
      <c r="M53" s="1654"/>
      <c r="N53" s="1654"/>
      <c r="O53" s="1654"/>
      <c r="P53" s="1654"/>
      <c r="Q53" s="1654"/>
      <c r="R53" s="1654"/>
      <c r="S53" s="3051"/>
      <c r="T53" s="3051"/>
      <c r="U53" s="3051"/>
    </row>
    <row r="54" spans="1:21">
      <c r="A54" s="1615"/>
      <c r="B54" s="1615"/>
      <c r="C54" s="1615"/>
      <c r="D54" s="1615"/>
      <c r="E54" s="1615"/>
      <c r="F54" s="1648"/>
      <c r="G54" s="1615"/>
      <c r="H54" s="1615"/>
      <c r="I54" s="1615"/>
      <c r="J54" s="1751"/>
      <c r="K54" s="3066"/>
      <c r="L54" s="3066"/>
      <c r="M54" s="3066"/>
      <c r="N54" s="3018"/>
      <c r="O54" s="3018"/>
      <c r="P54" s="3018"/>
      <c r="Q54" s="3018"/>
      <c r="R54" s="3018"/>
      <c r="S54" s="3051"/>
      <c r="T54" s="3051"/>
      <c r="U54" s="3051"/>
    </row>
    <row r="55" spans="1:21">
      <c r="A55" s="1615"/>
      <c r="B55" s="1615"/>
      <c r="C55" s="1615"/>
      <c r="D55" s="1615"/>
      <c r="E55" s="1615"/>
      <c r="F55" s="1648"/>
      <c r="G55" s="1615"/>
      <c r="H55" s="1615"/>
      <c r="I55" s="1615"/>
      <c r="J55" s="1751"/>
      <c r="K55" s="3066"/>
      <c r="L55" s="3066"/>
      <c r="M55" s="3066"/>
      <c r="N55" s="3018"/>
      <c r="O55" s="3018"/>
      <c r="P55" s="3018"/>
      <c r="Q55" s="3018"/>
      <c r="R55" s="3018"/>
      <c r="S55" s="3051"/>
      <c r="T55" s="3051"/>
      <c r="U55" s="3051"/>
    </row>
    <row r="56" spans="1:21">
      <c r="A56" s="1615"/>
      <c r="B56" s="1615"/>
      <c r="C56" s="1615"/>
      <c r="D56" s="1615"/>
      <c r="E56" s="1615"/>
      <c r="F56" s="1648"/>
      <c r="G56" s="1615"/>
      <c r="H56" s="1615"/>
      <c r="I56" s="1615"/>
      <c r="J56" s="1751"/>
      <c r="K56" s="3066"/>
      <c r="L56" s="3066"/>
      <c r="M56" s="3066"/>
      <c r="N56" s="3018"/>
      <c r="O56" s="3018"/>
      <c r="P56" s="3018"/>
      <c r="Q56" s="3018"/>
      <c r="R56" s="3018"/>
      <c r="S56" s="3051"/>
      <c r="T56" s="3051"/>
      <c r="U56" s="3051"/>
    </row>
    <row r="57" spans="1:21">
      <c r="A57" s="1615"/>
      <c r="B57" s="1615"/>
      <c r="C57" s="1615"/>
      <c r="D57" s="1615"/>
      <c r="E57" s="1615"/>
      <c r="F57" s="1648"/>
      <c r="G57" s="1615"/>
      <c r="H57" s="1615"/>
      <c r="I57" s="1615"/>
      <c r="J57" s="1751"/>
      <c r="K57" s="3066"/>
      <c r="L57" s="3066"/>
      <c r="M57" s="3066"/>
      <c r="N57" s="3018"/>
      <c r="O57" s="3018"/>
      <c r="P57" s="3018"/>
      <c r="Q57" s="3018"/>
      <c r="R57" s="3018"/>
      <c r="S57" s="3051"/>
      <c r="T57" s="3051"/>
      <c r="U57" s="3051"/>
    </row>
    <row r="58" spans="1:21">
      <c r="A58" s="1615"/>
      <c r="B58" s="1615"/>
      <c r="C58" s="1615"/>
      <c r="D58" s="1615"/>
      <c r="E58" s="1615"/>
      <c r="F58" s="1648"/>
      <c r="G58" s="1615"/>
      <c r="H58" s="1615"/>
      <c r="I58" s="1615"/>
      <c r="J58" s="1751"/>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4" sqref="M14"/>
    </sheetView>
  </sheetViews>
  <sheetFormatPr defaultColWidth="8.875" defaultRowHeight="14.25"/>
  <cols>
    <col min="1" max="1" width="13.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87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6" t="s">
        <v>2318</v>
      </c>
      <c r="BA2" s="2217"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41">
        <v>5500.6480000000001</v>
      </c>
      <c r="B3" s="21">
        <f>IF(C3="否",G5-AT5,G5)</f>
        <v>30803.628000000001</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30803.628000000001</v>
      </c>
      <c r="H5" s="26">
        <f t="shared" ref="H5:AT5" si="0">SUM(H13:H641)</f>
        <v>30803.628000000001</v>
      </c>
      <c r="I5" s="26">
        <f t="shared" si="0"/>
        <v>0</v>
      </c>
      <c r="J5" s="26">
        <f t="shared" si="0"/>
        <v>0</v>
      </c>
      <c r="K5" s="26">
        <f t="shared" si="0"/>
        <v>15401.814</v>
      </c>
      <c r="L5" s="26">
        <f t="shared" si="0"/>
        <v>0</v>
      </c>
      <c r="M5" s="26">
        <f t="shared" si="0"/>
        <v>15401.814</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30803.628000000001</v>
      </c>
      <c r="BA5" s="28">
        <f t="shared" si="1"/>
        <v>30803.628000000001</v>
      </c>
      <c r="BB5" s="28">
        <f t="shared" si="1"/>
        <v>0</v>
      </c>
      <c r="BC5" s="28">
        <f t="shared" si="1"/>
        <v>15401.814</v>
      </c>
      <c r="BD5" s="28">
        <f t="shared" si="1"/>
        <v>15401.814</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5500.64</v>
      </c>
      <c r="F6" s="26" t="s">
        <v>1</v>
      </c>
      <c r="G6" s="26" t="s">
        <v>2</v>
      </c>
      <c r="H6" s="32">
        <f>SUMIF(I$12:AB$12,"总值",I6:AB6)</f>
        <v>5500.64</v>
      </c>
      <c r="I6" s="26">
        <f t="shared" ref="I6:AB6" si="2">ROUND($A$3*I5/$B$3,2)</f>
        <v>0</v>
      </c>
      <c r="J6" s="26">
        <f t="shared" si="2"/>
        <v>0</v>
      </c>
      <c r="K6" s="26">
        <f t="shared" si="2"/>
        <v>2750.32</v>
      </c>
      <c r="L6" s="26">
        <f t="shared" si="2"/>
        <v>0</v>
      </c>
      <c r="M6" s="26">
        <f t="shared" si="2"/>
        <v>2750.32</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5500.65</v>
      </c>
      <c r="AZ6" s="26" t="s">
        <v>3</v>
      </c>
      <c r="BA6" s="26">
        <f>ROUND($AY$6*BA5/$AZ$5,2)</f>
        <v>5500.65</v>
      </c>
      <c r="BB6" s="26">
        <f>ROUND($AY$6*BB5/$AZ$5,2)</f>
        <v>0</v>
      </c>
      <c r="BC6" s="26">
        <f t="shared" ref="BC6:BH6" si="4">ROUND($AY$6*BC5/$AZ$5,2)</f>
        <v>2750.33</v>
      </c>
      <c r="BD6" s="26">
        <f t="shared" si="4"/>
        <v>2750.33</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4"/>
      <c r="AT8" s="2205"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9" t="s">
        <v>3054</v>
      </c>
      <c r="J9" s="50"/>
      <c r="K9" s="2729" t="s">
        <v>3054</v>
      </c>
      <c r="L9" s="50"/>
      <c r="M9" s="2729" t="s">
        <v>3054</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6"/>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9" t="s">
        <v>912</v>
      </c>
      <c r="J10" s="50"/>
      <c r="K10" s="2731" t="s">
        <v>3028</v>
      </c>
      <c r="L10" s="50"/>
      <c r="M10" s="2731" t="s">
        <v>1665</v>
      </c>
      <c r="N10" s="50"/>
      <c r="O10" s="65"/>
      <c r="P10" s="50"/>
      <c r="Q10" s="65"/>
      <c r="R10" s="50"/>
      <c r="S10" s="65"/>
      <c r="T10" s="50"/>
      <c r="U10" s="65"/>
      <c r="V10" s="50"/>
      <c r="W10" s="65"/>
      <c r="X10" s="50"/>
      <c r="Y10" s="65"/>
      <c r="Z10" s="50"/>
      <c r="AA10" s="65"/>
      <c r="AB10" s="50"/>
      <c r="AC10" s="54"/>
      <c r="AD10" s="2191" t="s">
        <v>2302</v>
      </c>
      <c r="AE10" s="2213"/>
      <c r="AF10" s="2191" t="s">
        <v>2302</v>
      </c>
      <c r="AG10" s="2213"/>
      <c r="AH10" s="2191" t="s">
        <v>2303</v>
      </c>
      <c r="AI10" s="2213"/>
      <c r="AJ10" s="25" t="s">
        <v>2316</v>
      </c>
      <c r="AK10" s="2210"/>
      <c r="AL10" s="2191" t="s">
        <v>2304</v>
      </c>
      <c r="AM10" s="2192"/>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30" t="s">
        <v>3055</v>
      </c>
      <c r="J11" s="70"/>
      <c r="K11" s="2730" t="s">
        <v>3056</v>
      </c>
      <c r="L11" s="70"/>
      <c r="M11" s="69" t="s">
        <v>3057</v>
      </c>
      <c r="N11" s="70"/>
      <c r="O11" s="69"/>
      <c r="P11" s="70"/>
      <c r="Q11" s="69"/>
      <c r="R11" s="70"/>
      <c r="S11" s="69"/>
      <c r="T11" s="70"/>
      <c r="U11" s="69"/>
      <c r="V11" s="70"/>
      <c r="W11" s="69"/>
      <c r="X11" s="70"/>
      <c r="Y11" s="69"/>
      <c r="Z11" s="70"/>
      <c r="AA11" s="69"/>
      <c r="AB11" s="70"/>
      <c r="AC11" s="54"/>
      <c r="AD11" s="2211" t="s">
        <v>2315</v>
      </c>
      <c r="AE11" s="988"/>
      <c r="AF11" s="2211" t="s">
        <v>2315</v>
      </c>
      <c r="AG11" s="988"/>
      <c r="AH11" s="2211" t="s">
        <v>2314</v>
      </c>
      <c r="AI11" s="2212"/>
      <c r="AJ11" s="2211" t="s">
        <v>2314</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平层住宅</v>
      </c>
      <c r="BC12" s="78" t="str">
        <f>K11</f>
        <v>底商</v>
      </c>
      <c r="BD12" s="78" t="str">
        <f>M11</f>
        <v>办公楼</v>
      </c>
      <c r="BE12" s="49">
        <f>O11</f>
        <v>0</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4"/>
      <c r="B13" s="2724"/>
      <c r="C13" s="2724">
        <v>9.9</v>
      </c>
      <c r="D13" s="2725" t="s">
        <v>1666</v>
      </c>
      <c r="E13" s="26">
        <f t="shared" ref="E13:E20" si="6">IF($C$3="是",ROUND($A$3*G13/$B$3,2),ROUND($A$3*(G13-AT13)/$B$3,2))</f>
        <v>5500.65</v>
      </c>
      <c r="F13" s="80"/>
      <c r="G13" s="81">
        <f t="shared" ref="G13:G20" si="7">H13+AC13+AT13</f>
        <v>30803.628000000001</v>
      </c>
      <c r="H13" s="32">
        <f t="shared" ref="H13:H20" si="8">SUMIF(I$12:AB$12,"总值",I13:AB13)</f>
        <v>30803.628000000001</v>
      </c>
      <c r="I13" s="3332"/>
      <c r="J13" s="2728"/>
      <c r="K13" s="3332">
        <v>15401.814</v>
      </c>
      <c r="L13" s="3332"/>
      <c r="M13" s="3332">
        <f>K13</f>
        <v>15401.814</v>
      </c>
      <c r="N13" s="82"/>
      <c r="O13" s="82"/>
      <c r="P13" s="82"/>
      <c r="Q13" s="82"/>
      <c r="R13" s="82"/>
      <c r="S13" s="82"/>
      <c r="T13" s="82"/>
      <c r="U13" s="82"/>
      <c r="V13" s="82"/>
      <c r="W13" s="82"/>
      <c r="X13" s="82"/>
      <c r="Y13" s="82"/>
      <c r="Z13" s="82"/>
      <c r="AA13" s="82"/>
      <c r="AB13" s="82"/>
      <c r="AC13" s="26">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9.9</v>
      </c>
      <c r="AY13" s="3375">
        <f>ROUND($AY$6*AZ13/$AZ$5,3)</f>
        <v>5500.65</v>
      </c>
      <c r="AZ13" s="26">
        <f t="shared" ref="AZ13:AZ20" si="11">BA13+BL13</f>
        <v>30803.628000000001</v>
      </c>
      <c r="BA13" s="26">
        <f t="shared" ref="BA13:BA20" si="12">SUM(BB13:BK13)</f>
        <v>30803.628000000001</v>
      </c>
      <c r="BB13" s="26">
        <f t="shared" ref="BB13:BB20" si="13">IF($D13="是",I13-J13,0)</f>
        <v>0</v>
      </c>
      <c r="BC13" s="26">
        <f t="shared" ref="BC13:BC20" si="14">IF($D13="是",K13-L13,0)</f>
        <v>15401.814</v>
      </c>
      <c r="BD13" s="26">
        <f t="shared" ref="BD13:BD20" si="15">IF($D13="是",M13-N13,0)</f>
        <v>15401.814</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724"/>
      <c r="B14" s="2724"/>
      <c r="C14" s="2726"/>
      <c r="D14" s="2725" t="s">
        <v>3153</v>
      </c>
      <c r="E14" s="26">
        <f t="shared" si="6"/>
        <v>0</v>
      </c>
      <c r="F14" s="80"/>
      <c r="G14" s="81">
        <f t="shared" si="7"/>
        <v>0</v>
      </c>
      <c r="H14" s="32">
        <f t="shared" si="8"/>
        <v>0</v>
      </c>
      <c r="I14" s="3332">
        <v>0</v>
      </c>
      <c r="J14" s="2728"/>
      <c r="K14" s="3332">
        <v>0</v>
      </c>
      <c r="L14" s="2728"/>
      <c r="M14" s="3332">
        <f>K14</f>
        <v>0</v>
      </c>
      <c r="N14" s="82"/>
      <c r="O14" s="82"/>
      <c r="P14" s="82"/>
      <c r="Q14" s="82"/>
      <c r="R14" s="82"/>
      <c r="S14" s="82"/>
      <c r="T14" s="82"/>
      <c r="U14" s="82"/>
      <c r="V14" s="82"/>
      <c r="W14" s="82"/>
      <c r="X14" s="82"/>
      <c r="Y14" s="82"/>
      <c r="Z14" s="82"/>
      <c r="AA14" s="82"/>
      <c r="AB14" s="82"/>
      <c r="AC14" s="26">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2">
        <f t="shared" ref="AY14:AY20" si="32">ROUND($AY$6*AZ14/$AZ$5,2)</f>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724"/>
      <c r="B15" s="2724"/>
      <c r="C15" s="2726"/>
      <c r="D15" s="2725" t="s">
        <v>3153</v>
      </c>
      <c r="E15" s="26">
        <f t="shared" si="6"/>
        <v>0</v>
      </c>
      <c r="F15" s="80"/>
      <c r="G15" s="81">
        <f t="shared" si="7"/>
        <v>0</v>
      </c>
      <c r="H15" s="32">
        <f t="shared" si="8"/>
        <v>0</v>
      </c>
      <c r="I15" s="3332">
        <v>0</v>
      </c>
      <c r="J15" s="2728"/>
      <c r="K15" s="3332">
        <f>ROUND(I15*1.36%,3)</f>
        <v>0</v>
      </c>
      <c r="L15" s="2728"/>
      <c r="M15" s="3332">
        <f>K15</f>
        <v>0</v>
      </c>
      <c r="N15" s="82"/>
      <c r="O15" s="82"/>
      <c r="P15" s="82"/>
      <c r="Q15" s="82"/>
      <c r="R15" s="82"/>
      <c r="S15" s="82"/>
      <c r="T15" s="82"/>
      <c r="U15" s="82"/>
      <c r="V15" s="82"/>
      <c r="W15" s="82"/>
      <c r="X15" s="82"/>
      <c r="Y15" s="82"/>
      <c r="Z15" s="82"/>
      <c r="AA15" s="82"/>
      <c r="AB15" s="82"/>
      <c r="AC15" s="26">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2">
        <f t="shared" si="32"/>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724"/>
      <c r="B16" s="2724"/>
      <c r="C16" s="2726"/>
      <c r="D16" s="2725"/>
      <c r="E16" s="26">
        <f t="shared" si="6"/>
        <v>0</v>
      </c>
      <c r="F16" s="80"/>
      <c r="G16" s="81">
        <f t="shared" si="7"/>
        <v>0</v>
      </c>
      <c r="H16" s="32">
        <f t="shared" si="8"/>
        <v>0</v>
      </c>
      <c r="I16" s="2728"/>
      <c r="J16" s="2728"/>
      <c r="K16" s="2728"/>
      <c r="L16" s="2728"/>
      <c r="M16" s="2728"/>
      <c r="N16" s="82"/>
      <c r="O16" s="82"/>
      <c r="P16" s="82"/>
      <c r="Q16" s="82"/>
      <c r="R16" s="82"/>
      <c r="S16" s="82"/>
      <c r="T16" s="82"/>
      <c r="U16" s="82"/>
      <c r="V16" s="82"/>
      <c r="W16" s="82"/>
      <c r="X16" s="82"/>
      <c r="Y16" s="82"/>
      <c r="Z16" s="82"/>
      <c r="AA16" s="82"/>
      <c r="AB16" s="82"/>
      <c r="AC16" s="26">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2">
        <f t="shared" si="32"/>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724"/>
      <c r="B17" s="2724"/>
      <c r="C17" s="2726"/>
      <c r="D17" s="2725"/>
      <c r="E17" s="26">
        <f t="shared" si="6"/>
        <v>0</v>
      </c>
      <c r="F17" s="80"/>
      <c r="G17" s="81">
        <f t="shared" si="7"/>
        <v>0</v>
      </c>
      <c r="H17" s="32">
        <f t="shared" si="8"/>
        <v>0</v>
      </c>
      <c r="I17" s="2728"/>
      <c r="J17" s="2728"/>
      <c r="K17" s="2728"/>
      <c r="L17" s="2728"/>
      <c r="M17" s="2728"/>
      <c r="N17" s="82"/>
      <c r="O17" s="82"/>
      <c r="P17" s="82"/>
      <c r="Q17" s="82"/>
      <c r="R17" s="82"/>
      <c r="S17" s="82"/>
      <c r="T17" s="82"/>
      <c r="U17" s="82"/>
      <c r="V17" s="82"/>
      <c r="W17" s="82"/>
      <c r="X17" s="82"/>
      <c r="Y17" s="82"/>
      <c r="Z17" s="82"/>
      <c r="AA17" s="82"/>
      <c r="AB17" s="82"/>
      <c r="AC17" s="26">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2">
        <f t="shared" si="32"/>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727"/>
      <c r="E18" s="86">
        <f t="shared" si="6"/>
        <v>0</v>
      </c>
      <c r="F18" s="87"/>
      <c r="G18" s="88">
        <f t="shared" si="7"/>
        <v>0</v>
      </c>
      <c r="H18" s="89">
        <f t="shared" si="8"/>
        <v>0</v>
      </c>
      <c r="I18" s="1341"/>
      <c r="J18" s="90"/>
      <c r="K18" s="1341"/>
      <c r="L18" s="90"/>
      <c r="M18" s="90"/>
      <c r="N18" s="90"/>
      <c r="O18" s="90"/>
      <c r="P18" s="90"/>
      <c r="Q18" s="90"/>
      <c r="R18" s="90"/>
      <c r="S18" s="90"/>
      <c r="T18" s="90"/>
      <c r="U18" s="90"/>
      <c r="V18" s="90"/>
      <c r="W18" s="90"/>
      <c r="X18" s="90"/>
      <c r="Y18" s="90"/>
      <c r="Z18" s="90"/>
      <c r="AA18" s="90"/>
      <c r="AB18" s="90"/>
      <c r="AC18" s="86">
        <f t="shared" si="9"/>
        <v>0</v>
      </c>
      <c r="AD18" s="91"/>
      <c r="AE18" s="91"/>
      <c r="AF18" s="1341"/>
      <c r="AG18" s="91"/>
      <c r="AH18" s="91"/>
      <c r="AI18" s="91"/>
      <c r="AJ18" s="91"/>
      <c r="AK18" s="91"/>
      <c r="AL18" s="1315"/>
      <c r="AM18" s="91"/>
      <c r="AN18" s="1341"/>
      <c r="AO18" s="91"/>
      <c r="AP18" s="91"/>
      <c r="AQ18" s="91"/>
      <c r="AR18" s="91"/>
      <c r="AS18" s="91"/>
      <c r="AT18" s="92"/>
      <c r="AU18" s="93"/>
      <c r="AV18" s="978">
        <f t="shared" si="10"/>
        <v>0</v>
      </c>
      <c r="AW18" s="978">
        <f t="shared" si="10"/>
        <v>0</v>
      </c>
      <c r="AX18" s="978">
        <f t="shared" si="10"/>
        <v>0</v>
      </c>
      <c r="AY18" s="94">
        <f t="shared" si="32"/>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45"/>
      <c r="C19" s="1341"/>
      <c r="D19" s="79"/>
      <c r="E19" s="86">
        <f t="shared" si="6"/>
        <v>0</v>
      </c>
      <c r="F19" s="87"/>
      <c r="G19" s="88">
        <f t="shared" si="7"/>
        <v>0</v>
      </c>
      <c r="H19" s="89">
        <f t="shared" si="8"/>
        <v>0</v>
      </c>
      <c r="I19" s="1341"/>
      <c r="J19" s="90"/>
      <c r="K19" s="1341"/>
      <c r="L19" s="90"/>
      <c r="M19" s="90"/>
      <c r="N19" s="90"/>
      <c r="O19" s="90"/>
      <c r="P19" s="90"/>
      <c r="Q19" s="90"/>
      <c r="R19" s="90"/>
      <c r="S19" s="90"/>
      <c r="T19" s="90"/>
      <c r="U19" s="90"/>
      <c r="V19" s="90"/>
      <c r="W19" s="90"/>
      <c r="X19" s="90"/>
      <c r="Y19" s="90"/>
      <c r="Z19" s="90"/>
      <c r="AA19" s="90"/>
      <c r="AB19" s="90"/>
      <c r="AC19" s="86">
        <f t="shared" si="9"/>
        <v>0</v>
      </c>
      <c r="AD19" s="91"/>
      <c r="AE19" s="91"/>
      <c r="AF19" s="1341"/>
      <c r="AG19" s="91"/>
      <c r="AH19" s="91"/>
      <c r="AI19" s="91"/>
      <c r="AJ19" s="91"/>
      <c r="AK19" s="91"/>
      <c r="AL19" s="91"/>
      <c r="AM19" s="91"/>
      <c r="AN19" s="1341"/>
      <c r="AO19" s="91"/>
      <c r="AP19" s="91"/>
      <c r="AQ19" s="91"/>
      <c r="AR19" s="91"/>
      <c r="AS19" s="91"/>
      <c r="AT19" s="92"/>
      <c r="AU19" s="93"/>
      <c r="AV19" s="978">
        <f t="shared" si="10"/>
        <v>0</v>
      </c>
      <c r="AW19" s="978">
        <f t="shared" si="10"/>
        <v>0</v>
      </c>
      <c r="AX19" s="978">
        <f t="shared" si="10"/>
        <v>0</v>
      </c>
      <c r="AY19" s="94">
        <f t="shared" si="32"/>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45"/>
      <c r="C20" s="1341"/>
      <c r="D20" s="79"/>
      <c r="E20" s="86">
        <f t="shared" si="6"/>
        <v>0</v>
      </c>
      <c r="F20" s="87"/>
      <c r="G20" s="88">
        <f t="shared" si="7"/>
        <v>0</v>
      </c>
      <c r="H20" s="89">
        <f t="shared" si="8"/>
        <v>0</v>
      </c>
      <c r="I20" s="1341"/>
      <c r="J20" s="90"/>
      <c r="K20" s="1341"/>
      <c r="L20" s="90"/>
      <c r="M20" s="90"/>
      <c r="N20" s="90"/>
      <c r="O20" s="90"/>
      <c r="P20" s="90"/>
      <c r="Q20" s="90"/>
      <c r="R20" s="90"/>
      <c r="S20" s="90"/>
      <c r="T20" s="90"/>
      <c r="U20" s="90"/>
      <c r="V20" s="90"/>
      <c r="W20" s="90"/>
      <c r="X20" s="90"/>
      <c r="Y20" s="90"/>
      <c r="Z20" s="90"/>
      <c r="AA20" s="90"/>
      <c r="AB20" s="90"/>
      <c r="AC20" s="86">
        <f t="shared" si="9"/>
        <v>0</v>
      </c>
      <c r="AD20" s="91"/>
      <c r="AE20" s="91"/>
      <c r="AF20" s="1341"/>
      <c r="AG20" s="91"/>
      <c r="AH20" s="91"/>
      <c r="AI20" s="91"/>
      <c r="AJ20" s="91"/>
      <c r="AK20" s="91"/>
      <c r="AL20" s="91"/>
      <c r="AM20" s="91"/>
      <c r="AN20" s="1341"/>
      <c r="AO20" s="91"/>
      <c r="AP20" s="91"/>
      <c r="AQ20" s="91"/>
      <c r="AR20" s="91"/>
      <c r="AS20" s="91"/>
      <c r="AT20" s="92"/>
      <c r="AU20" s="93"/>
      <c r="AV20" s="978">
        <f t="shared" si="10"/>
        <v>0</v>
      </c>
      <c r="AW20" s="978">
        <f t="shared" si="10"/>
        <v>0</v>
      </c>
      <c r="AX20" s="978">
        <f t="shared" si="10"/>
        <v>0</v>
      </c>
      <c r="AY20" s="94">
        <f t="shared" si="32"/>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40"/>
      <c r="C21" s="1341"/>
      <c r="D21" s="79"/>
      <c r="E21" s="86">
        <f t="shared" ref="E21:E112" si="33">IF($C$3="是",ROUND($A$3*G21/$B$3,2),ROUND($A$3*(G21-AT21)/$B$3,2))</f>
        <v>0</v>
      </c>
      <c r="F21" s="87"/>
      <c r="G21" s="88">
        <f t="shared" ref="G21:G109" si="34">H21+AC21+AT21</f>
        <v>0</v>
      </c>
      <c r="H21" s="89">
        <f t="shared" ref="H21:H109" si="35">SUMIF(I$12:AB$12,"总值",I21:AB21)</f>
        <v>0</v>
      </c>
      <c r="I21" s="1343"/>
      <c r="J21" s="90"/>
      <c r="K21" s="134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4"/>
      <c r="AG21" s="91"/>
      <c r="AH21" s="91"/>
      <c r="AI21" s="91"/>
      <c r="AJ21" s="91"/>
      <c r="AK21" s="91"/>
      <c r="AL21" s="91"/>
      <c r="AM21" s="91"/>
      <c r="AN21" s="1315"/>
      <c r="AO21" s="91"/>
      <c r="AP21" s="91"/>
      <c r="AQ21" s="91"/>
      <c r="AR21" s="91"/>
      <c r="AS21" s="91"/>
      <c r="AT21" s="92"/>
      <c r="AU21" s="93"/>
      <c r="AV21" s="1890">
        <f t="shared" ref="AV21:AV112" si="37">A21</f>
        <v>0</v>
      </c>
      <c r="AW21" s="1890">
        <f t="shared" ref="AW21:AW112" si="38">B21</f>
        <v>0</v>
      </c>
      <c r="AX21" s="189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0"/>
      <c r="C22" s="1341"/>
      <c r="D22" s="79"/>
      <c r="E22" s="86">
        <f t="shared" si="33"/>
        <v>0</v>
      </c>
      <c r="F22" s="87"/>
      <c r="G22" s="88">
        <f t="shared" si="34"/>
        <v>0</v>
      </c>
      <c r="H22" s="89">
        <f t="shared" si="35"/>
        <v>0</v>
      </c>
      <c r="I22" s="1343"/>
      <c r="J22" s="90"/>
      <c r="K22" s="1343"/>
      <c r="L22" s="90"/>
      <c r="M22" s="1315"/>
      <c r="N22" s="90"/>
      <c r="O22" s="90"/>
      <c r="P22" s="90"/>
      <c r="Q22" s="90"/>
      <c r="R22" s="90"/>
      <c r="S22" s="90"/>
      <c r="T22" s="90"/>
      <c r="U22" s="90"/>
      <c r="V22" s="90"/>
      <c r="W22" s="90"/>
      <c r="X22" s="90"/>
      <c r="Y22" s="90"/>
      <c r="Z22" s="90"/>
      <c r="AA22" s="90"/>
      <c r="AB22" s="90"/>
      <c r="AC22" s="86">
        <f t="shared" si="36"/>
        <v>0</v>
      </c>
      <c r="AD22" s="1315"/>
      <c r="AE22" s="91"/>
      <c r="AF22" s="1344"/>
      <c r="AG22" s="91"/>
      <c r="AH22" s="91"/>
      <c r="AI22" s="91"/>
      <c r="AJ22" s="91"/>
      <c r="AK22" s="91"/>
      <c r="AL22" s="1315"/>
      <c r="AM22" s="91"/>
      <c r="AN22" s="1315"/>
      <c r="AO22" s="91"/>
      <c r="AP22" s="91"/>
      <c r="AQ22" s="91"/>
      <c r="AR22" s="91"/>
      <c r="AS22" s="91"/>
      <c r="AT22" s="92"/>
      <c r="AU22" s="93"/>
      <c r="AV22" s="1890">
        <f t="shared" si="37"/>
        <v>0</v>
      </c>
      <c r="AW22" s="1890">
        <f t="shared" si="38"/>
        <v>0</v>
      </c>
      <c r="AX22" s="189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0"/>
      <c r="C23" s="1341"/>
      <c r="D23" s="79"/>
      <c r="E23" s="86">
        <f t="shared" si="33"/>
        <v>0</v>
      </c>
      <c r="F23" s="87"/>
      <c r="G23" s="88">
        <f t="shared" si="34"/>
        <v>0</v>
      </c>
      <c r="H23" s="89">
        <f t="shared" si="35"/>
        <v>0</v>
      </c>
      <c r="I23" s="1343"/>
      <c r="J23" s="90"/>
      <c r="K23" s="1343"/>
      <c r="L23" s="90"/>
      <c r="M23" s="1315"/>
      <c r="N23" s="90"/>
      <c r="O23" s="90"/>
      <c r="P23" s="90"/>
      <c r="Q23" s="90"/>
      <c r="R23" s="90"/>
      <c r="S23" s="90"/>
      <c r="T23" s="90"/>
      <c r="U23" s="90"/>
      <c r="V23" s="90"/>
      <c r="W23" s="90"/>
      <c r="X23" s="90"/>
      <c r="Y23" s="90"/>
      <c r="Z23" s="90"/>
      <c r="AA23" s="90"/>
      <c r="AB23" s="90"/>
      <c r="AC23" s="86">
        <f t="shared" si="36"/>
        <v>0</v>
      </c>
      <c r="AD23" s="91"/>
      <c r="AE23" s="91"/>
      <c r="AF23" s="1344"/>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0"/>
      <c r="C24" s="1341"/>
      <c r="D24" s="79"/>
      <c r="E24" s="86">
        <f t="shared" si="33"/>
        <v>0</v>
      </c>
      <c r="F24" s="87"/>
      <c r="G24" s="88">
        <f t="shared" si="34"/>
        <v>0</v>
      </c>
      <c r="H24" s="89">
        <f t="shared" si="35"/>
        <v>0</v>
      </c>
      <c r="I24" s="1343"/>
      <c r="J24" s="90"/>
      <c r="K24" s="1343"/>
      <c r="L24" s="90"/>
      <c r="M24" s="90"/>
      <c r="N24" s="90"/>
      <c r="O24" s="1315"/>
      <c r="P24" s="90"/>
      <c r="Q24" s="90"/>
      <c r="R24" s="90"/>
      <c r="S24" s="90"/>
      <c r="T24" s="90"/>
      <c r="U24" s="90"/>
      <c r="V24" s="90"/>
      <c r="W24" s="90"/>
      <c r="X24" s="90"/>
      <c r="Y24" s="90"/>
      <c r="Z24" s="90"/>
      <c r="AA24" s="90"/>
      <c r="AB24" s="90"/>
      <c r="AC24" s="86">
        <f t="shared" si="36"/>
        <v>0</v>
      </c>
      <c r="AD24" s="91"/>
      <c r="AE24" s="91"/>
      <c r="AF24" s="1344"/>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0"/>
      <c r="C25" s="1341"/>
      <c r="D25" s="79"/>
      <c r="E25" s="86">
        <f t="shared" si="33"/>
        <v>0</v>
      </c>
      <c r="F25" s="87"/>
      <c r="G25" s="88">
        <f t="shared" si="34"/>
        <v>0</v>
      </c>
      <c r="H25" s="89">
        <f t="shared" si="35"/>
        <v>0</v>
      </c>
      <c r="I25" s="1343"/>
      <c r="J25" s="90"/>
      <c r="K25" s="1343"/>
      <c r="L25" s="90"/>
      <c r="M25" s="90"/>
      <c r="N25" s="90"/>
      <c r="O25" s="90"/>
      <c r="P25" s="90"/>
      <c r="Q25" s="90"/>
      <c r="R25" s="90"/>
      <c r="S25" s="90"/>
      <c r="T25" s="90"/>
      <c r="U25" s="90"/>
      <c r="V25" s="90"/>
      <c r="W25" s="90"/>
      <c r="X25" s="90"/>
      <c r="Y25" s="90"/>
      <c r="Z25" s="90"/>
      <c r="AA25" s="90"/>
      <c r="AB25" s="90"/>
      <c r="AC25" s="86">
        <f t="shared" si="36"/>
        <v>0</v>
      </c>
      <c r="AD25" s="91"/>
      <c r="AE25" s="91"/>
      <c r="AF25" s="1344"/>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0"/>
      <c r="C26" s="1341"/>
      <c r="D26" s="79"/>
      <c r="E26" s="86">
        <f t="shared" si="33"/>
        <v>0</v>
      </c>
      <c r="F26" s="87"/>
      <c r="G26" s="88">
        <f t="shared" si="34"/>
        <v>0</v>
      </c>
      <c r="H26" s="89">
        <f t="shared" si="35"/>
        <v>0</v>
      </c>
      <c r="I26" s="1343"/>
      <c r="J26" s="90"/>
      <c r="K26" s="1343"/>
      <c r="L26" s="90"/>
      <c r="M26" s="90"/>
      <c r="N26" s="90"/>
      <c r="O26" s="90"/>
      <c r="P26" s="90"/>
      <c r="Q26" s="90"/>
      <c r="R26" s="90"/>
      <c r="S26" s="90"/>
      <c r="T26" s="90"/>
      <c r="U26" s="90"/>
      <c r="V26" s="90"/>
      <c r="W26" s="90"/>
      <c r="X26" s="90"/>
      <c r="Y26" s="90"/>
      <c r="Z26" s="90"/>
      <c r="AA26" s="90"/>
      <c r="AB26" s="90"/>
      <c r="AC26" s="86">
        <f t="shared" si="36"/>
        <v>0</v>
      </c>
      <c r="AD26" s="91"/>
      <c r="AE26" s="91"/>
      <c r="AF26" s="1344"/>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0"/>
      <c r="C27" s="1341"/>
      <c r="D27" s="79"/>
      <c r="E27" s="86">
        <f t="shared" si="33"/>
        <v>0</v>
      </c>
      <c r="F27" s="87"/>
      <c r="G27" s="88">
        <f t="shared" si="34"/>
        <v>0</v>
      </c>
      <c r="H27" s="89">
        <f t="shared" si="35"/>
        <v>0</v>
      </c>
      <c r="I27" s="1343"/>
      <c r="J27" s="90"/>
      <c r="K27" s="1343"/>
      <c r="L27" s="90"/>
      <c r="M27" s="90"/>
      <c r="N27" s="90"/>
      <c r="O27" s="90"/>
      <c r="P27" s="90"/>
      <c r="Q27" s="90"/>
      <c r="R27" s="90"/>
      <c r="S27" s="90"/>
      <c r="T27" s="90"/>
      <c r="U27" s="90"/>
      <c r="V27" s="90"/>
      <c r="W27" s="90"/>
      <c r="X27" s="90"/>
      <c r="Y27" s="90"/>
      <c r="Z27" s="90"/>
      <c r="AA27" s="90"/>
      <c r="AB27" s="90"/>
      <c r="AC27" s="86">
        <f t="shared" si="36"/>
        <v>0</v>
      </c>
      <c r="AD27" s="91"/>
      <c r="AE27" s="91"/>
      <c r="AF27" s="1344"/>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0"/>
      <c r="C28" s="1341"/>
      <c r="D28" s="79"/>
      <c r="E28" s="86">
        <f t="shared" si="33"/>
        <v>0</v>
      </c>
      <c r="F28" s="87"/>
      <c r="G28" s="88">
        <f t="shared" si="34"/>
        <v>0</v>
      </c>
      <c r="H28" s="89">
        <f t="shared" si="35"/>
        <v>0</v>
      </c>
      <c r="I28" s="1343"/>
      <c r="J28" s="90"/>
      <c r="K28" s="1343"/>
      <c r="L28" s="90"/>
      <c r="M28" s="90"/>
      <c r="N28" s="90"/>
      <c r="O28" s="90"/>
      <c r="P28" s="90"/>
      <c r="Q28" s="90"/>
      <c r="R28" s="90"/>
      <c r="S28" s="90"/>
      <c r="T28" s="90"/>
      <c r="U28" s="90"/>
      <c r="V28" s="90"/>
      <c r="W28" s="90"/>
      <c r="X28" s="90"/>
      <c r="Y28" s="90"/>
      <c r="Z28" s="90"/>
      <c r="AA28" s="90"/>
      <c r="AB28" s="90"/>
      <c r="AC28" s="86">
        <f t="shared" si="36"/>
        <v>0</v>
      </c>
      <c r="AD28" s="91"/>
      <c r="AE28" s="91"/>
      <c r="AF28" s="1343"/>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2"/>
      <c r="C29" s="1343"/>
      <c r="D29" s="79"/>
      <c r="E29" s="86">
        <f t="shared" si="33"/>
        <v>0</v>
      </c>
      <c r="F29" s="87"/>
      <c r="G29" s="88">
        <f t="shared" si="34"/>
        <v>0</v>
      </c>
      <c r="H29" s="89">
        <f t="shared" si="35"/>
        <v>0</v>
      </c>
      <c r="I29" s="1343"/>
      <c r="J29" s="90"/>
      <c r="K29" s="1343"/>
      <c r="L29" s="90"/>
      <c r="M29" s="90"/>
      <c r="N29" s="90"/>
      <c r="O29" s="90"/>
      <c r="P29" s="90"/>
      <c r="Q29" s="90"/>
      <c r="R29" s="90"/>
      <c r="S29" s="90"/>
      <c r="T29" s="90"/>
      <c r="U29" s="90"/>
      <c r="V29" s="90"/>
      <c r="W29" s="90"/>
      <c r="X29" s="90"/>
      <c r="Y29" s="90"/>
      <c r="Z29" s="90"/>
      <c r="AA29" s="90"/>
      <c r="AB29" s="90"/>
      <c r="AC29" s="86">
        <f t="shared" si="36"/>
        <v>0</v>
      </c>
      <c r="AD29" s="91"/>
      <c r="AE29" s="91"/>
      <c r="AF29" s="1343"/>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0"/>
      <c r="C30" s="1341"/>
      <c r="D30" s="79"/>
      <c r="E30" s="86">
        <f t="shared" si="33"/>
        <v>0</v>
      </c>
      <c r="F30" s="87"/>
      <c r="G30" s="88">
        <f t="shared" si="34"/>
        <v>0</v>
      </c>
      <c r="H30" s="89">
        <f t="shared" si="35"/>
        <v>0</v>
      </c>
      <c r="I30" s="1343"/>
      <c r="J30" s="90"/>
      <c r="K30" s="1343"/>
      <c r="L30" s="90"/>
      <c r="M30" s="90"/>
      <c r="N30" s="90"/>
      <c r="O30" s="90"/>
      <c r="P30" s="90"/>
      <c r="Q30" s="90"/>
      <c r="R30" s="90"/>
      <c r="S30" s="90"/>
      <c r="T30" s="90"/>
      <c r="U30" s="90"/>
      <c r="V30" s="90"/>
      <c r="W30" s="90"/>
      <c r="X30" s="90"/>
      <c r="Y30" s="90"/>
      <c r="Z30" s="90"/>
      <c r="AA30" s="90"/>
      <c r="AB30" s="90"/>
      <c r="AC30" s="86">
        <f t="shared" si="36"/>
        <v>0</v>
      </c>
      <c r="AD30" s="91"/>
      <c r="AE30" s="91"/>
      <c r="AF30" s="1343"/>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0"/>
      <c r="C31" s="1341"/>
      <c r="D31" s="79"/>
      <c r="E31" s="86">
        <f t="shared" si="33"/>
        <v>0</v>
      </c>
      <c r="F31" s="87"/>
      <c r="G31" s="88">
        <f t="shared" si="34"/>
        <v>0</v>
      </c>
      <c r="H31" s="89">
        <f t="shared" si="35"/>
        <v>0</v>
      </c>
      <c r="I31" s="1343"/>
      <c r="J31" s="90"/>
      <c r="K31" s="1343"/>
      <c r="L31" s="90"/>
      <c r="M31" s="90"/>
      <c r="N31" s="90"/>
      <c r="O31" s="90"/>
      <c r="P31" s="90"/>
      <c r="Q31" s="90"/>
      <c r="R31" s="90"/>
      <c r="S31" s="90"/>
      <c r="T31" s="90"/>
      <c r="U31" s="90"/>
      <c r="V31" s="90"/>
      <c r="W31" s="90"/>
      <c r="X31" s="90"/>
      <c r="Y31" s="90"/>
      <c r="Z31" s="90"/>
      <c r="AA31" s="90"/>
      <c r="AB31" s="90"/>
      <c r="AC31" s="86">
        <f t="shared" si="36"/>
        <v>0</v>
      </c>
      <c r="AD31" s="91"/>
      <c r="AE31" s="91"/>
      <c r="AF31" s="1343"/>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0"/>
      <c r="C32" s="1341"/>
      <c r="D32" s="79"/>
      <c r="E32" s="86">
        <f t="shared" si="33"/>
        <v>0</v>
      </c>
      <c r="F32" s="87"/>
      <c r="G32" s="88">
        <f t="shared" si="34"/>
        <v>0</v>
      </c>
      <c r="H32" s="89">
        <f t="shared" si="35"/>
        <v>0</v>
      </c>
      <c r="I32" s="1343"/>
      <c r="J32" s="90"/>
      <c r="K32" s="1343"/>
      <c r="L32" s="90"/>
      <c r="M32" s="90"/>
      <c r="N32" s="90"/>
      <c r="O32" s="90"/>
      <c r="P32" s="90"/>
      <c r="Q32" s="90"/>
      <c r="R32" s="90"/>
      <c r="S32" s="90"/>
      <c r="T32" s="90"/>
      <c r="U32" s="90"/>
      <c r="V32" s="90"/>
      <c r="W32" s="90"/>
      <c r="X32" s="90"/>
      <c r="Y32" s="90"/>
      <c r="Z32" s="90"/>
      <c r="AA32" s="90"/>
      <c r="AB32" s="90"/>
      <c r="AC32" s="86">
        <f t="shared" si="36"/>
        <v>0</v>
      </c>
      <c r="AD32" s="91"/>
      <c r="AE32" s="91"/>
      <c r="AF32" s="1343"/>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0"/>
      <c r="C33" s="1341"/>
      <c r="D33" s="79"/>
      <c r="E33" s="86">
        <f t="shared" si="33"/>
        <v>0</v>
      </c>
      <c r="F33" s="87"/>
      <c r="G33" s="88">
        <f t="shared" si="34"/>
        <v>0</v>
      </c>
      <c r="H33" s="89">
        <f t="shared" si="35"/>
        <v>0</v>
      </c>
      <c r="I33" s="1343"/>
      <c r="J33" s="90"/>
      <c r="K33" s="1343"/>
      <c r="L33" s="90"/>
      <c r="M33" s="90"/>
      <c r="N33" s="90"/>
      <c r="O33" s="90"/>
      <c r="P33" s="90"/>
      <c r="Q33" s="90"/>
      <c r="R33" s="90"/>
      <c r="S33" s="90"/>
      <c r="T33" s="90"/>
      <c r="U33" s="90"/>
      <c r="V33" s="90"/>
      <c r="W33" s="90"/>
      <c r="X33" s="90"/>
      <c r="Y33" s="90"/>
      <c r="Z33" s="90"/>
      <c r="AA33" s="90"/>
      <c r="AB33" s="90"/>
      <c r="AC33" s="86">
        <f t="shared" si="36"/>
        <v>0</v>
      </c>
      <c r="AD33" s="91"/>
      <c r="AE33" s="91"/>
      <c r="AF33" s="1343"/>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0"/>
      <c r="C34" s="1341"/>
      <c r="D34" s="79"/>
      <c r="E34" s="86">
        <f t="shared" si="33"/>
        <v>0</v>
      </c>
      <c r="F34" s="87"/>
      <c r="G34" s="88">
        <f t="shared" si="34"/>
        <v>0</v>
      </c>
      <c r="H34" s="89">
        <f t="shared" si="35"/>
        <v>0</v>
      </c>
      <c r="I34" s="1343"/>
      <c r="J34" s="90"/>
      <c r="K34" s="1343"/>
      <c r="L34" s="90"/>
      <c r="M34" s="90"/>
      <c r="N34" s="90"/>
      <c r="O34" s="90"/>
      <c r="P34" s="90"/>
      <c r="Q34" s="90"/>
      <c r="R34" s="90"/>
      <c r="S34" s="90"/>
      <c r="T34" s="90"/>
      <c r="U34" s="90"/>
      <c r="V34" s="90"/>
      <c r="W34" s="90"/>
      <c r="X34" s="90"/>
      <c r="Y34" s="90"/>
      <c r="Z34" s="90"/>
      <c r="AA34" s="90"/>
      <c r="AB34" s="90"/>
      <c r="AC34" s="86">
        <f t="shared" si="36"/>
        <v>0</v>
      </c>
      <c r="AD34" s="91"/>
      <c r="AE34" s="91"/>
      <c r="AF34" s="1343"/>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0"/>
      <c r="C35" s="1341"/>
      <c r="D35" s="79"/>
      <c r="E35" s="86">
        <f t="shared" si="33"/>
        <v>0</v>
      </c>
      <c r="F35" s="87"/>
      <c r="G35" s="88">
        <f t="shared" si="34"/>
        <v>0</v>
      </c>
      <c r="H35" s="89">
        <f t="shared" si="35"/>
        <v>0</v>
      </c>
      <c r="I35" s="1343"/>
      <c r="J35" s="90"/>
      <c r="K35" s="1343"/>
      <c r="L35" s="90"/>
      <c r="M35" s="90"/>
      <c r="N35" s="90"/>
      <c r="O35" s="90"/>
      <c r="P35" s="90"/>
      <c r="Q35" s="90"/>
      <c r="R35" s="90"/>
      <c r="S35" s="90"/>
      <c r="T35" s="90"/>
      <c r="U35" s="90"/>
      <c r="V35" s="90"/>
      <c r="W35" s="90"/>
      <c r="X35" s="90"/>
      <c r="Y35" s="90"/>
      <c r="Z35" s="90"/>
      <c r="AA35" s="90"/>
      <c r="AB35" s="90"/>
      <c r="AC35" s="86">
        <f t="shared" si="36"/>
        <v>0</v>
      </c>
      <c r="AD35" s="91"/>
      <c r="AE35" s="91"/>
      <c r="AF35" s="1343"/>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0"/>
      <c r="C36" s="1341"/>
      <c r="D36" s="79"/>
      <c r="E36" s="86">
        <f t="shared" si="33"/>
        <v>0</v>
      </c>
      <c r="F36" s="87"/>
      <c r="G36" s="88">
        <f t="shared" si="34"/>
        <v>0</v>
      </c>
      <c r="H36" s="89">
        <f t="shared" si="35"/>
        <v>0</v>
      </c>
      <c r="I36" s="1343"/>
      <c r="J36" s="90"/>
      <c r="K36" s="1343"/>
      <c r="L36" s="90"/>
      <c r="M36" s="90"/>
      <c r="N36" s="90"/>
      <c r="O36" s="90"/>
      <c r="P36" s="90"/>
      <c r="Q36" s="90"/>
      <c r="R36" s="90"/>
      <c r="S36" s="90"/>
      <c r="T36" s="90"/>
      <c r="U36" s="90"/>
      <c r="V36" s="90"/>
      <c r="W36" s="90"/>
      <c r="X36" s="90"/>
      <c r="Y36" s="90"/>
      <c r="Z36" s="90"/>
      <c r="AA36" s="90"/>
      <c r="AB36" s="90"/>
      <c r="AC36" s="86">
        <f t="shared" si="36"/>
        <v>0</v>
      </c>
      <c r="AD36" s="91"/>
      <c r="AE36" s="91"/>
      <c r="AF36" s="1343"/>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0"/>
      <c r="C37" s="1341"/>
      <c r="D37" s="79"/>
      <c r="E37" s="86">
        <f t="shared" si="33"/>
        <v>0</v>
      </c>
      <c r="F37" s="87"/>
      <c r="G37" s="88">
        <f t="shared" si="34"/>
        <v>0</v>
      </c>
      <c r="H37" s="89">
        <f t="shared" si="35"/>
        <v>0</v>
      </c>
      <c r="I37" s="1343"/>
      <c r="J37" s="90"/>
      <c r="K37" s="1343"/>
      <c r="L37" s="90"/>
      <c r="M37" s="90"/>
      <c r="N37" s="90"/>
      <c r="O37" s="90"/>
      <c r="P37" s="90"/>
      <c r="Q37" s="90"/>
      <c r="R37" s="90"/>
      <c r="S37" s="90"/>
      <c r="T37" s="90"/>
      <c r="U37" s="90"/>
      <c r="V37" s="90"/>
      <c r="W37" s="90"/>
      <c r="X37" s="90"/>
      <c r="Y37" s="90"/>
      <c r="Z37" s="90"/>
      <c r="AA37" s="90"/>
      <c r="AB37" s="90"/>
      <c r="AC37" s="86">
        <f t="shared" si="36"/>
        <v>0</v>
      </c>
      <c r="AD37" s="91"/>
      <c r="AE37" s="91"/>
      <c r="AF37" s="1343"/>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0"/>
      <c r="C38" s="1341"/>
      <c r="D38" s="79"/>
      <c r="E38" s="86">
        <f t="shared" si="33"/>
        <v>0</v>
      </c>
      <c r="F38" s="87"/>
      <c r="G38" s="88">
        <f t="shared" si="34"/>
        <v>0</v>
      </c>
      <c r="H38" s="89">
        <f t="shared" si="35"/>
        <v>0</v>
      </c>
      <c r="I38" s="1343"/>
      <c r="J38" s="90"/>
      <c r="K38" s="1343"/>
      <c r="L38" s="90"/>
      <c r="M38" s="90"/>
      <c r="N38" s="90"/>
      <c r="O38" s="90"/>
      <c r="P38" s="90"/>
      <c r="Q38" s="90"/>
      <c r="R38" s="90"/>
      <c r="S38" s="90"/>
      <c r="T38" s="90"/>
      <c r="U38" s="90"/>
      <c r="V38" s="90"/>
      <c r="W38" s="90"/>
      <c r="X38" s="90"/>
      <c r="Y38" s="90"/>
      <c r="Z38" s="90"/>
      <c r="AA38" s="90"/>
      <c r="AB38" s="90"/>
      <c r="AC38" s="86">
        <f t="shared" si="36"/>
        <v>0</v>
      </c>
      <c r="AD38" s="91"/>
      <c r="AE38" s="91"/>
      <c r="AF38" s="1343"/>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0"/>
      <c r="C39" s="1341"/>
      <c r="D39" s="79"/>
      <c r="E39" s="86">
        <f t="shared" si="33"/>
        <v>0</v>
      </c>
      <c r="F39" s="87"/>
      <c r="G39" s="88">
        <f t="shared" si="34"/>
        <v>0</v>
      </c>
      <c r="H39" s="89">
        <f t="shared" si="35"/>
        <v>0</v>
      </c>
      <c r="I39" s="1343"/>
      <c r="J39" s="90"/>
      <c r="K39" s="1343"/>
      <c r="L39" s="90"/>
      <c r="M39" s="90"/>
      <c r="N39" s="90"/>
      <c r="O39" s="90"/>
      <c r="P39" s="90"/>
      <c r="Q39" s="90"/>
      <c r="R39" s="90"/>
      <c r="S39" s="90"/>
      <c r="T39" s="90"/>
      <c r="U39" s="90"/>
      <c r="V39" s="90"/>
      <c r="W39" s="90"/>
      <c r="X39" s="90"/>
      <c r="Y39" s="90"/>
      <c r="Z39" s="90"/>
      <c r="AA39" s="90"/>
      <c r="AB39" s="90"/>
      <c r="AC39" s="86">
        <f t="shared" si="36"/>
        <v>0</v>
      </c>
      <c r="AD39" s="91"/>
      <c r="AE39" s="91"/>
      <c r="AF39" s="1343"/>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0"/>
      <c r="C40" s="1341"/>
      <c r="D40" s="79"/>
      <c r="E40" s="86">
        <f t="shared" si="33"/>
        <v>0</v>
      </c>
      <c r="F40" s="87"/>
      <c r="G40" s="88">
        <f t="shared" si="34"/>
        <v>0</v>
      </c>
      <c r="H40" s="89">
        <f t="shared" si="35"/>
        <v>0</v>
      </c>
      <c r="I40" s="1343"/>
      <c r="J40" s="90"/>
      <c r="K40" s="1343"/>
      <c r="L40" s="90"/>
      <c r="M40" s="90"/>
      <c r="N40" s="90"/>
      <c r="O40" s="90"/>
      <c r="P40" s="90"/>
      <c r="Q40" s="90"/>
      <c r="R40" s="90"/>
      <c r="S40" s="90"/>
      <c r="T40" s="90"/>
      <c r="U40" s="90"/>
      <c r="V40" s="90"/>
      <c r="W40" s="90"/>
      <c r="X40" s="90"/>
      <c r="Y40" s="90"/>
      <c r="Z40" s="90"/>
      <c r="AA40" s="90"/>
      <c r="AB40" s="90"/>
      <c r="AC40" s="86">
        <f t="shared" si="36"/>
        <v>0</v>
      </c>
      <c r="AD40" s="91"/>
      <c r="AE40" s="91"/>
      <c r="AF40" s="1343"/>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0"/>
      <c r="C41" s="1341"/>
      <c r="D41" s="79"/>
      <c r="E41" s="86">
        <f t="shared" si="33"/>
        <v>0</v>
      </c>
      <c r="F41" s="87"/>
      <c r="G41" s="88">
        <f t="shared" si="34"/>
        <v>0</v>
      </c>
      <c r="H41" s="89">
        <f t="shared" si="35"/>
        <v>0</v>
      </c>
      <c r="I41" s="1343"/>
      <c r="J41" s="90"/>
      <c r="K41" s="1343"/>
      <c r="L41" s="90"/>
      <c r="M41" s="90"/>
      <c r="N41" s="90"/>
      <c r="O41" s="90"/>
      <c r="P41" s="90"/>
      <c r="Q41" s="90"/>
      <c r="R41" s="90"/>
      <c r="S41" s="90"/>
      <c r="T41" s="90"/>
      <c r="U41" s="90"/>
      <c r="V41" s="90"/>
      <c r="W41" s="90"/>
      <c r="X41" s="90"/>
      <c r="Y41" s="90"/>
      <c r="Z41" s="90"/>
      <c r="AA41" s="90"/>
      <c r="AB41" s="90"/>
      <c r="AC41" s="86">
        <f t="shared" si="36"/>
        <v>0</v>
      </c>
      <c r="AD41" s="91"/>
      <c r="AE41" s="91"/>
      <c r="AF41" s="1343"/>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0"/>
      <c r="C42" s="1341"/>
      <c r="D42" s="79"/>
      <c r="E42" s="86">
        <f t="shared" si="33"/>
        <v>0</v>
      </c>
      <c r="F42" s="87"/>
      <c r="G42" s="88">
        <f t="shared" si="34"/>
        <v>0</v>
      </c>
      <c r="H42" s="89">
        <f t="shared" si="35"/>
        <v>0</v>
      </c>
      <c r="I42" s="1343"/>
      <c r="J42" s="90"/>
      <c r="K42" s="1343"/>
      <c r="L42" s="90"/>
      <c r="M42" s="90"/>
      <c r="N42" s="90"/>
      <c r="O42" s="90"/>
      <c r="P42" s="90"/>
      <c r="Q42" s="90"/>
      <c r="R42" s="90"/>
      <c r="S42" s="90"/>
      <c r="T42" s="90"/>
      <c r="U42" s="90"/>
      <c r="V42" s="90"/>
      <c r="W42" s="90"/>
      <c r="X42" s="90"/>
      <c r="Y42" s="90"/>
      <c r="Z42" s="90"/>
      <c r="AA42" s="90"/>
      <c r="AB42" s="90"/>
      <c r="AC42" s="86">
        <f t="shared" si="36"/>
        <v>0</v>
      </c>
      <c r="AD42" s="91"/>
      <c r="AE42" s="91"/>
      <c r="AF42" s="1343"/>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0"/>
      <c r="C43" s="1341"/>
      <c r="D43" s="79"/>
      <c r="E43" s="86">
        <f t="shared" si="33"/>
        <v>0</v>
      </c>
      <c r="F43" s="87"/>
      <c r="G43" s="88">
        <f t="shared" si="34"/>
        <v>0</v>
      </c>
      <c r="H43" s="89">
        <f t="shared" si="35"/>
        <v>0</v>
      </c>
      <c r="I43" s="1343"/>
      <c r="J43" s="90"/>
      <c r="K43" s="1343"/>
      <c r="L43" s="90"/>
      <c r="M43" s="90"/>
      <c r="N43" s="90"/>
      <c r="O43" s="90"/>
      <c r="P43" s="90"/>
      <c r="Q43" s="90"/>
      <c r="R43" s="90"/>
      <c r="S43" s="90"/>
      <c r="T43" s="90"/>
      <c r="U43" s="90"/>
      <c r="V43" s="90"/>
      <c r="W43" s="90"/>
      <c r="X43" s="90"/>
      <c r="Y43" s="90"/>
      <c r="Z43" s="90"/>
      <c r="AA43" s="90"/>
      <c r="AB43" s="90"/>
      <c r="AC43" s="86">
        <f t="shared" si="36"/>
        <v>0</v>
      </c>
      <c r="AD43" s="91"/>
      <c r="AE43" s="91"/>
      <c r="AF43" s="1343"/>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0"/>
      <c r="C44" s="1341"/>
      <c r="D44" s="79"/>
      <c r="E44" s="86">
        <f t="shared" si="33"/>
        <v>0</v>
      </c>
      <c r="F44" s="87"/>
      <c r="G44" s="88">
        <f t="shared" si="34"/>
        <v>0</v>
      </c>
      <c r="H44" s="89">
        <f t="shared" si="35"/>
        <v>0</v>
      </c>
      <c r="I44" s="1343"/>
      <c r="J44" s="90"/>
      <c r="K44" s="1343"/>
      <c r="L44" s="90"/>
      <c r="M44" s="90"/>
      <c r="N44" s="90"/>
      <c r="O44" s="90"/>
      <c r="P44" s="90"/>
      <c r="Q44" s="90"/>
      <c r="R44" s="90"/>
      <c r="S44" s="90"/>
      <c r="T44" s="90"/>
      <c r="U44" s="90"/>
      <c r="V44" s="90"/>
      <c r="W44" s="90"/>
      <c r="X44" s="90"/>
      <c r="Y44" s="90"/>
      <c r="Z44" s="90"/>
      <c r="AA44" s="90"/>
      <c r="AB44" s="90"/>
      <c r="AC44" s="86">
        <f t="shared" si="36"/>
        <v>0</v>
      </c>
      <c r="AD44" s="91"/>
      <c r="AE44" s="91"/>
      <c r="AF44" s="1343"/>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0"/>
      <c r="C45" s="1341"/>
      <c r="D45" s="79"/>
      <c r="E45" s="86">
        <f t="shared" si="33"/>
        <v>0</v>
      </c>
      <c r="F45" s="87"/>
      <c r="G45" s="88">
        <f t="shared" si="34"/>
        <v>0</v>
      </c>
      <c r="H45" s="89">
        <f t="shared" si="35"/>
        <v>0</v>
      </c>
      <c r="I45" s="1343"/>
      <c r="J45" s="90"/>
      <c r="K45" s="1343"/>
      <c r="L45" s="90"/>
      <c r="M45" s="90"/>
      <c r="N45" s="90"/>
      <c r="O45" s="90"/>
      <c r="P45" s="90"/>
      <c r="Q45" s="90"/>
      <c r="R45" s="90"/>
      <c r="S45" s="90"/>
      <c r="T45" s="90"/>
      <c r="U45" s="90"/>
      <c r="V45" s="90"/>
      <c r="W45" s="90"/>
      <c r="X45" s="90"/>
      <c r="Y45" s="90"/>
      <c r="Z45" s="90"/>
      <c r="AA45" s="90"/>
      <c r="AB45" s="90"/>
      <c r="AC45" s="86">
        <f t="shared" si="36"/>
        <v>0</v>
      </c>
      <c r="AD45" s="91"/>
      <c r="AE45" s="91"/>
      <c r="AF45" s="1343"/>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0"/>
      <c r="C46" s="1341"/>
      <c r="D46" s="79"/>
      <c r="E46" s="86">
        <f t="shared" si="33"/>
        <v>0</v>
      </c>
      <c r="F46" s="87"/>
      <c r="G46" s="88">
        <f t="shared" si="34"/>
        <v>0</v>
      </c>
      <c r="H46" s="89">
        <f t="shared" si="35"/>
        <v>0</v>
      </c>
      <c r="I46" s="1343"/>
      <c r="J46" s="90"/>
      <c r="K46" s="1343"/>
      <c r="L46" s="90"/>
      <c r="M46" s="90"/>
      <c r="N46" s="90"/>
      <c r="O46" s="90"/>
      <c r="P46" s="90"/>
      <c r="Q46" s="90"/>
      <c r="R46" s="90"/>
      <c r="S46" s="90"/>
      <c r="T46" s="90"/>
      <c r="U46" s="90"/>
      <c r="V46" s="90"/>
      <c r="W46" s="90"/>
      <c r="X46" s="90"/>
      <c r="Y46" s="90"/>
      <c r="Z46" s="90"/>
      <c r="AA46" s="90"/>
      <c r="AB46" s="90"/>
      <c r="AC46" s="86">
        <f t="shared" si="36"/>
        <v>0</v>
      </c>
      <c r="AD46" s="91"/>
      <c r="AE46" s="91"/>
      <c r="AF46" s="1343"/>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0"/>
      <c r="C47" s="1341"/>
      <c r="D47" s="79"/>
      <c r="E47" s="86">
        <f t="shared" si="33"/>
        <v>0</v>
      </c>
      <c r="F47" s="87"/>
      <c r="G47" s="88">
        <f t="shared" si="34"/>
        <v>0</v>
      </c>
      <c r="H47" s="89">
        <f t="shared" si="35"/>
        <v>0</v>
      </c>
      <c r="I47" s="1343"/>
      <c r="J47" s="90"/>
      <c r="K47" s="1343"/>
      <c r="L47" s="90"/>
      <c r="M47" s="90"/>
      <c r="N47" s="90"/>
      <c r="O47" s="90"/>
      <c r="P47" s="90"/>
      <c r="Q47" s="90"/>
      <c r="R47" s="90"/>
      <c r="S47" s="90"/>
      <c r="T47" s="90"/>
      <c r="U47" s="90"/>
      <c r="V47" s="90"/>
      <c r="W47" s="90"/>
      <c r="X47" s="90"/>
      <c r="Y47" s="90"/>
      <c r="Z47" s="90"/>
      <c r="AA47" s="90"/>
      <c r="AB47" s="90"/>
      <c r="AC47" s="86">
        <f t="shared" si="36"/>
        <v>0</v>
      </c>
      <c r="AD47" s="91"/>
      <c r="AE47" s="91"/>
      <c r="AF47" s="1341"/>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0"/>
      <c r="C48" s="1341"/>
      <c r="D48" s="79"/>
      <c r="E48" s="86">
        <f t="shared" si="33"/>
        <v>0</v>
      </c>
      <c r="F48" s="87"/>
      <c r="G48" s="88">
        <f t="shared" si="34"/>
        <v>0</v>
      </c>
      <c r="H48" s="89">
        <f t="shared" si="35"/>
        <v>0</v>
      </c>
      <c r="I48" s="1341"/>
      <c r="J48" s="90"/>
      <c r="K48" s="1341"/>
      <c r="L48" s="90"/>
      <c r="M48" s="90"/>
      <c r="N48" s="90"/>
      <c r="O48" s="90"/>
      <c r="P48" s="90"/>
      <c r="Q48" s="90"/>
      <c r="R48" s="90"/>
      <c r="S48" s="90"/>
      <c r="T48" s="90"/>
      <c r="U48" s="90"/>
      <c r="V48" s="90"/>
      <c r="W48" s="90"/>
      <c r="X48" s="90"/>
      <c r="Y48" s="90"/>
      <c r="Z48" s="90"/>
      <c r="AA48" s="90"/>
      <c r="AB48" s="90"/>
      <c r="AC48" s="86">
        <f t="shared" si="36"/>
        <v>0</v>
      </c>
      <c r="AD48" s="91"/>
      <c r="AE48" s="91"/>
      <c r="AF48" s="1341"/>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0"/>
      <c r="C49" s="1341"/>
      <c r="D49" s="79"/>
      <c r="E49" s="86">
        <f t="shared" si="33"/>
        <v>0</v>
      </c>
      <c r="F49" s="87"/>
      <c r="G49" s="88">
        <f t="shared" si="34"/>
        <v>0</v>
      </c>
      <c r="H49" s="89">
        <f t="shared" si="35"/>
        <v>0</v>
      </c>
      <c r="I49" s="1341"/>
      <c r="J49" s="90"/>
      <c r="K49" s="1341"/>
      <c r="L49" s="90"/>
      <c r="M49" s="90"/>
      <c r="N49" s="90"/>
      <c r="O49" s="90"/>
      <c r="P49" s="90"/>
      <c r="Q49" s="90"/>
      <c r="R49" s="90"/>
      <c r="S49" s="90"/>
      <c r="T49" s="90"/>
      <c r="U49" s="90"/>
      <c r="V49" s="90"/>
      <c r="W49" s="90"/>
      <c r="X49" s="90"/>
      <c r="Y49" s="90"/>
      <c r="Z49" s="90"/>
      <c r="AA49" s="90"/>
      <c r="AB49" s="90"/>
      <c r="AC49" s="86">
        <f t="shared" si="36"/>
        <v>0</v>
      </c>
      <c r="AD49" s="91"/>
      <c r="AE49" s="91"/>
      <c r="AF49" s="1341"/>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0"/>
      <c r="C50" s="1341"/>
      <c r="D50" s="79"/>
      <c r="E50" s="86">
        <f t="shared" si="33"/>
        <v>0</v>
      </c>
      <c r="F50" s="87"/>
      <c r="G50" s="88">
        <f t="shared" si="34"/>
        <v>0</v>
      </c>
      <c r="H50" s="89">
        <f t="shared" si="35"/>
        <v>0</v>
      </c>
      <c r="I50" s="1341"/>
      <c r="J50" s="90"/>
      <c r="K50" s="1341"/>
      <c r="L50" s="90"/>
      <c r="M50" s="90"/>
      <c r="N50" s="90"/>
      <c r="O50" s="90"/>
      <c r="P50" s="90"/>
      <c r="Q50" s="90"/>
      <c r="R50" s="90"/>
      <c r="S50" s="90"/>
      <c r="T50" s="90"/>
      <c r="U50" s="90"/>
      <c r="V50" s="90"/>
      <c r="W50" s="90"/>
      <c r="X50" s="90"/>
      <c r="Y50" s="90"/>
      <c r="Z50" s="90"/>
      <c r="AA50" s="90"/>
      <c r="AB50" s="90"/>
      <c r="AC50" s="86">
        <f t="shared" si="36"/>
        <v>0</v>
      </c>
      <c r="AD50" s="91"/>
      <c r="AE50" s="91"/>
      <c r="AF50" s="1341"/>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0"/>
      <c r="C51" s="1341"/>
      <c r="D51" s="79"/>
      <c r="E51" s="86">
        <f t="shared" si="33"/>
        <v>0</v>
      </c>
      <c r="F51" s="87"/>
      <c r="G51" s="88">
        <f t="shared" si="34"/>
        <v>0</v>
      </c>
      <c r="H51" s="89">
        <f t="shared" si="35"/>
        <v>0</v>
      </c>
      <c r="I51" s="1341"/>
      <c r="J51" s="90"/>
      <c r="K51" s="1341"/>
      <c r="L51" s="90"/>
      <c r="M51" s="90"/>
      <c r="N51" s="90"/>
      <c r="O51" s="90"/>
      <c r="P51" s="90"/>
      <c r="Q51" s="90"/>
      <c r="R51" s="90"/>
      <c r="S51" s="90"/>
      <c r="T51" s="90"/>
      <c r="U51" s="90"/>
      <c r="V51" s="90"/>
      <c r="W51" s="90"/>
      <c r="X51" s="90"/>
      <c r="Y51" s="90"/>
      <c r="Z51" s="90"/>
      <c r="AA51" s="90"/>
      <c r="AB51" s="90"/>
      <c r="AC51" s="86">
        <f t="shared" si="36"/>
        <v>0</v>
      </c>
      <c r="AD51" s="91"/>
      <c r="AE51" s="91"/>
      <c r="AF51" s="1341"/>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0"/>
      <c r="C52" s="1341"/>
      <c r="D52" s="79"/>
      <c r="E52" s="86">
        <f t="shared" si="33"/>
        <v>0</v>
      </c>
      <c r="F52" s="87"/>
      <c r="G52" s="88">
        <f t="shared" si="34"/>
        <v>0</v>
      </c>
      <c r="H52" s="89">
        <f t="shared" si="35"/>
        <v>0</v>
      </c>
      <c r="I52" s="1341"/>
      <c r="J52" s="90"/>
      <c r="K52" s="1341"/>
      <c r="L52" s="90"/>
      <c r="M52" s="90"/>
      <c r="N52" s="90"/>
      <c r="O52" s="90"/>
      <c r="P52" s="90"/>
      <c r="Q52" s="90"/>
      <c r="R52" s="90"/>
      <c r="S52" s="90"/>
      <c r="T52" s="90"/>
      <c r="U52" s="90"/>
      <c r="V52" s="90"/>
      <c r="W52" s="90"/>
      <c r="X52" s="90"/>
      <c r="Y52" s="90"/>
      <c r="Z52" s="90"/>
      <c r="AA52" s="90"/>
      <c r="AB52" s="90"/>
      <c r="AC52" s="86">
        <f t="shared" si="36"/>
        <v>0</v>
      </c>
      <c r="AD52" s="91"/>
      <c r="AE52" s="91"/>
      <c r="AF52" s="1341"/>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0"/>
      <c r="C53" s="1341"/>
      <c r="D53" s="79"/>
      <c r="E53" s="86">
        <f t="shared" si="33"/>
        <v>0</v>
      </c>
      <c r="F53" s="87"/>
      <c r="G53" s="88">
        <f t="shared" si="34"/>
        <v>0</v>
      </c>
      <c r="H53" s="89">
        <f t="shared" si="35"/>
        <v>0</v>
      </c>
      <c r="I53" s="1341"/>
      <c r="J53" s="90"/>
      <c r="K53" s="1341"/>
      <c r="L53" s="90"/>
      <c r="M53" s="90"/>
      <c r="N53" s="90"/>
      <c r="O53" s="90"/>
      <c r="P53" s="90"/>
      <c r="Q53" s="90"/>
      <c r="R53" s="90"/>
      <c r="S53" s="90"/>
      <c r="T53" s="90"/>
      <c r="U53" s="90"/>
      <c r="V53" s="90"/>
      <c r="W53" s="90"/>
      <c r="X53" s="90"/>
      <c r="Y53" s="90"/>
      <c r="Z53" s="90"/>
      <c r="AA53" s="90"/>
      <c r="AB53" s="90"/>
      <c r="AC53" s="86">
        <f t="shared" si="36"/>
        <v>0</v>
      </c>
      <c r="AD53" s="91"/>
      <c r="AE53" s="91"/>
      <c r="AF53" s="1341"/>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0"/>
      <c r="C54" s="1341"/>
      <c r="D54" s="79"/>
      <c r="E54" s="86">
        <f t="shared" si="33"/>
        <v>0</v>
      </c>
      <c r="F54" s="87"/>
      <c r="G54" s="88">
        <f t="shared" si="34"/>
        <v>0</v>
      </c>
      <c r="H54" s="89">
        <f t="shared" si="35"/>
        <v>0</v>
      </c>
      <c r="I54" s="1341"/>
      <c r="J54" s="90"/>
      <c r="K54" s="1341"/>
      <c r="L54" s="90"/>
      <c r="M54" s="90"/>
      <c r="N54" s="90"/>
      <c r="O54" s="90"/>
      <c r="P54" s="90"/>
      <c r="Q54" s="90"/>
      <c r="R54" s="90"/>
      <c r="S54" s="90"/>
      <c r="T54" s="90"/>
      <c r="U54" s="90"/>
      <c r="V54" s="90"/>
      <c r="W54" s="90"/>
      <c r="X54" s="90"/>
      <c r="Y54" s="90"/>
      <c r="Z54" s="90"/>
      <c r="AA54" s="90"/>
      <c r="AB54" s="90"/>
      <c r="AC54" s="86">
        <f t="shared" si="36"/>
        <v>0</v>
      </c>
      <c r="AD54" s="91"/>
      <c r="AE54" s="91"/>
      <c r="AF54" s="1341"/>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2"/>
      <c r="C55" s="1343"/>
      <c r="D55" s="79"/>
      <c r="E55" s="86">
        <f t="shared" si="33"/>
        <v>0</v>
      </c>
      <c r="F55" s="87"/>
      <c r="G55" s="88">
        <f t="shared" si="34"/>
        <v>0</v>
      </c>
      <c r="H55" s="89">
        <f t="shared" si="35"/>
        <v>0</v>
      </c>
      <c r="I55" s="1341"/>
      <c r="J55" s="90"/>
      <c r="K55" s="1341"/>
      <c r="L55" s="90"/>
      <c r="M55" s="1341"/>
      <c r="N55" s="90"/>
      <c r="O55" s="90"/>
      <c r="P55" s="90"/>
      <c r="Q55" s="90"/>
      <c r="R55" s="90"/>
      <c r="S55" s="90"/>
      <c r="T55" s="90"/>
      <c r="U55" s="90"/>
      <c r="V55" s="90"/>
      <c r="W55" s="90"/>
      <c r="X55" s="90"/>
      <c r="Y55" s="90"/>
      <c r="Z55" s="90"/>
      <c r="AA55" s="90"/>
      <c r="AB55" s="90"/>
      <c r="AC55" s="86">
        <f t="shared" si="36"/>
        <v>0</v>
      </c>
      <c r="AD55" s="91"/>
      <c r="AE55" s="91"/>
      <c r="AF55" s="1341"/>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0"/>
      <c r="C113" s="1341"/>
      <c r="D113" s="79"/>
      <c r="E113" s="86">
        <f t="shared" ref="E113:E144" si="87">IF($C$3="是",ROUND($A$3*G113/$B$3,2),ROUND($A$3*(G113-AT113)/$B$3,2))</f>
        <v>0</v>
      </c>
      <c r="F113" s="87"/>
      <c r="G113" s="88">
        <f t="shared" si="62"/>
        <v>0</v>
      </c>
      <c r="H113" s="89">
        <f t="shared" si="63"/>
        <v>0</v>
      </c>
      <c r="I113" s="1343"/>
      <c r="J113" s="90"/>
      <c r="K113" s="134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4"/>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0"/>
      <c r="C114" s="1341"/>
      <c r="D114" s="79"/>
      <c r="E114" s="86">
        <f t="shared" si="87"/>
        <v>0</v>
      </c>
      <c r="F114" s="87"/>
      <c r="G114" s="88">
        <f t="shared" si="62"/>
        <v>0</v>
      </c>
      <c r="H114" s="89">
        <f t="shared" si="63"/>
        <v>0</v>
      </c>
      <c r="I114" s="1343"/>
      <c r="J114" s="90"/>
      <c r="K114" s="1343"/>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4"/>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0"/>
      <c r="C115" s="1341"/>
      <c r="D115" s="79"/>
      <c r="E115" s="86">
        <f t="shared" si="87"/>
        <v>0</v>
      </c>
      <c r="F115" s="87"/>
      <c r="G115" s="88">
        <f t="shared" si="62"/>
        <v>0</v>
      </c>
      <c r="H115" s="89">
        <f t="shared" si="63"/>
        <v>0</v>
      </c>
      <c r="I115" s="1343"/>
      <c r="J115" s="90"/>
      <c r="K115" s="1343"/>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4"/>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0"/>
      <c r="C116" s="1341"/>
      <c r="D116" s="79"/>
      <c r="E116" s="86">
        <f t="shared" si="87"/>
        <v>0</v>
      </c>
      <c r="F116" s="87"/>
      <c r="G116" s="88">
        <f t="shared" si="62"/>
        <v>0</v>
      </c>
      <c r="H116" s="89">
        <f t="shared" si="63"/>
        <v>0</v>
      </c>
      <c r="I116" s="1343"/>
      <c r="J116" s="90"/>
      <c r="K116" s="1343"/>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4"/>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0"/>
      <c r="C117" s="1341"/>
      <c r="D117" s="79"/>
      <c r="E117" s="86">
        <f t="shared" si="87"/>
        <v>0</v>
      </c>
      <c r="F117" s="87"/>
      <c r="G117" s="88">
        <f t="shared" si="62"/>
        <v>0</v>
      </c>
      <c r="H117" s="89">
        <f t="shared" si="63"/>
        <v>0</v>
      </c>
      <c r="I117" s="1343"/>
      <c r="J117" s="90"/>
      <c r="K117" s="134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4"/>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0"/>
      <c r="C118" s="1341"/>
      <c r="D118" s="79"/>
      <c r="E118" s="86">
        <f t="shared" si="87"/>
        <v>0</v>
      </c>
      <c r="F118" s="87"/>
      <c r="G118" s="88">
        <f t="shared" si="62"/>
        <v>0</v>
      </c>
      <c r="H118" s="89">
        <f t="shared" si="63"/>
        <v>0</v>
      </c>
      <c r="I118" s="1343"/>
      <c r="J118" s="90"/>
      <c r="K118" s="134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4"/>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0"/>
      <c r="C119" s="1341"/>
      <c r="D119" s="79"/>
      <c r="E119" s="86">
        <f t="shared" si="87"/>
        <v>0</v>
      </c>
      <c r="F119" s="87"/>
      <c r="G119" s="88">
        <f t="shared" si="62"/>
        <v>0</v>
      </c>
      <c r="H119" s="89">
        <f t="shared" si="63"/>
        <v>0</v>
      </c>
      <c r="I119" s="1343"/>
      <c r="J119" s="90"/>
      <c r="K119" s="134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4"/>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0"/>
      <c r="C120" s="1341"/>
      <c r="D120" s="79"/>
      <c r="E120" s="86">
        <f t="shared" si="87"/>
        <v>0</v>
      </c>
      <c r="F120" s="87"/>
      <c r="G120" s="88">
        <f t="shared" si="62"/>
        <v>0</v>
      </c>
      <c r="H120" s="89">
        <f t="shared" si="63"/>
        <v>0</v>
      </c>
      <c r="I120" s="1343"/>
      <c r="J120" s="90"/>
      <c r="K120" s="134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3"/>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2"/>
      <c r="C121" s="1343"/>
      <c r="D121" s="79"/>
      <c r="E121" s="86">
        <f t="shared" si="87"/>
        <v>0</v>
      </c>
      <c r="F121" s="87"/>
      <c r="G121" s="88">
        <f t="shared" si="62"/>
        <v>0</v>
      </c>
      <c r="H121" s="89">
        <f t="shared" si="63"/>
        <v>0</v>
      </c>
      <c r="I121" s="1343"/>
      <c r="J121" s="90"/>
      <c r="K121" s="134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3"/>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0"/>
      <c r="C122" s="1341"/>
      <c r="D122" s="79"/>
      <c r="E122" s="86">
        <f t="shared" si="87"/>
        <v>0</v>
      </c>
      <c r="F122" s="87"/>
      <c r="G122" s="88">
        <f t="shared" si="62"/>
        <v>0</v>
      </c>
      <c r="H122" s="89">
        <f t="shared" si="63"/>
        <v>0</v>
      </c>
      <c r="I122" s="1343"/>
      <c r="J122" s="90"/>
      <c r="K122" s="134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3"/>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0"/>
      <c r="C123" s="1341"/>
      <c r="D123" s="79"/>
      <c r="E123" s="86">
        <f t="shared" si="87"/>
        <v>0</v>
      </c>
      <c r="F123" s="87"/>
      <c r="G123" s="88">
        <f t="shared" si="62"/>
        <v>0</v>
      </c>
      <c r="H123" s="89">
        <f t="shared" si="63"/>
        <v>0</v>
      </c>
      <c r="I123" s="1343"/>
      <c r="J123" s="90"/>
      <c r="K123" s="134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3"/>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0"/>
      <c r="C124" s="1341"/>
      <c r="D124" s="79"/>
      <c r="E124" s="86">
        <f t="shared" si="87"/>
        <v>0</v>
      </c>
      <c r="F124" s="87"/>
      <c r="G124" s="88">
        <f t="shared" si="62"/>
        <v>0</v>
      </c>
      <c r="H124" s="89">
        <f t="shared" si="63"/>
        <v>0</v>
      </c>
      <c r="I124" s="1343"/>
      <c r="J124" s="90"/>
      <c r="K124" s="134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3"/>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0"/>
      <c r="C125" s="1341"/>
      <c r="D125" s="79"/>
      <c r="E125" s="86">
        <f t="shared" si="87"/>
        <v>0</v>
      </c>
      <c r="F125" s="87"/>
      <c r="G125" s="88">
        <f t="shared" si="62"/>
        <v>0</v>
      </c>
      <c r="H125" s="89">
        <f t="shared" si="63"/>
        <v>0</v>
      </c>
      <c r="I125" s="1343"/>
      <c r="J125" s="90"/>
      <c r="K125" s="134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3"/>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0"/>
      <c r="C126" s="1341"/>
      <c r="D126" s="79"/>
      <c r="E126" s="86">
        <f t="shared" si="87"/>
        <v>0</v>
      </c>
      <c r="F126" s="87"/>
      <c r="G126" s="88">
        <f t="shared" si="62"/>
        <v>0</v>
      </c>
      <c r="H126" s="89">
        <f t="shared" si="63"/>
        <v>0</v>
      </c>
      <c r="I126" s="1343"/>
      <c r="J126" s="90"/>
      <c r="K126" s="134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3"/>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0"/>
      <c r="C127" s="1341"/>
      <c r="D127" s="79"/>
      <c r="E127" s="86">
        <f t="shared" si="87"/>
        <v>0</v>
      </c>
      <c r="F127" s="87"/>
      <c r="G127" s="88">
        <f t="shared" si="62"/>
        <v>0</v>
      </c>
      <c r="H127" s="89">
        <f t="shared" si="63"/>
        <v>0</v>
      </c>
      <c r="I127" s="1343"/>
      <c r="J127" s="90"/>
      <c r="K127" s="134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3"/>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0"/>
      <c r="C128" s="1341"/>
      <c r="D128" s="79"/>
      <c r="E128" s="86">
        <f t="shared" si="87"/>
        <v>0</v>
      </c>
      <c r="F128" s="87"/>
      <c r="G128" s="88">
        <f t="shared" si="62"/>
        <v>0</v>
      </c>
      <c r="H128" s="89">
        <f t="shared" si="63"/>
        <v>0</v>
      </c>
      <c r="I128" s="1343"/>
      <c r="J128" s="90"/>
      <c r="K128" s="134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3"/>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0"/>
      <c r="C129" s="1341"/>
      <c r="D129" s="79"/>
      <c r="E129" s="86">
        <f t="shared" si="87"/>
        <v>0</v>
      </c>
      <c r="F129" s="87"/>
      <c r="G129" s="88">
        <f t="shared" si="62"/>
        <v>0</v>
      </c>
      <c r="H129" s="89">
        <f t="shared" si="63"/>
        <v>0</v>
      </c>
      <c r="I129" s="1343"/>
      <c r="J129" s="90"/>
      <c r="K129" s="134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3"/>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0"/>
      <c r="C130" s="1341"/>
      <c r="D130" s="79"/>
      <c r="E130" s="86">
        <f t="shared" si="87"/>
        <v>0</v>
      </c>
      <c r="F130" s="87"/>
      <c r="G130" s="88">
        <f t="shared" si="62"/>
        <v>0</v>
      </c>
      <c r="H130" s="89">
        <f t="shared" si="63"/>
        <v>0</v>
      </c>
      <c r="I130" s="1343"/>
      <c r="J130" s="90"/>
      <c r="K130" s="134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3"/>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0"/>
      <c r="C131" s="1341"/>
      <c r="D131" s="79"/>
      <c r="E131" s="86">
        <f t="shared" si="87"/>
        <v>0</v>
      </c>
      <c r="F131" s="87"/>
      <c r="G131" s="88">
        <f t="shared" si="62"/>
        <v>0</v>
      </c>
      <c r="H131" s="89">
        <f t="shared" si="63"/>
        <v>0</v>
      </c>
      <c r="I131" s="1343"/>
      <c r="J131" s="90"/>
      <c r="K131" s="134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3"/>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0"/>
      <c r="C132" s="1341"/>
      <c r="D132" s="79"/>
      <c r="E132" s="86">
        <f t="shared" si="87"/>
        <v>0</v>
      </c>
      <c r="F132" s="87"/>
      <c r="G132" s="88">
        <f t="shared" si="62"/>
        <v>0</v>
      </c>
      <c r="H132" s="89">
        <f t="shared" si="63"/>
        <v>0</v>
      </c>
      <c r="I132" s="1343"/>
      <c r="J132" s="90"/>
      <c r="K132" s="134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3"/>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0"/>
      <c r="C133" s="1341"/>
      <c r="D133" s="79"/>
      <c r="E133" s="86">
        <f t="shared" si="87"/>
        <v>0</v>
      </c>
      <c r="F133" s="87"/>
      <c r="G133" s="88">
        <f t="shared" si="62"/>
        <v>0</v>
      </c>
      <c r="H133" s="89">
        <f t="shared" si="63"/>
        <v>0</v>
      </c>
      <c r="I133" s="1343"/>
      <c r="J133" s="90"/>
      <c r="K133" s="134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3"/>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0"/>
      <c r="C134" s="1341"/>
      <c r="D134" s="79"/>
      <c r="E134" s="86">
        <f t="shared" si="87"/>
        <v>0</v>
      </c>
      <c r="F134" s="87"/>
      <c r="G134" s="88">
        <f t="shared" si="62"/>
        <v>0</v>
      </c>
      <c r="H134" s="89">
        <f t="shared" si="63"/>
        <v>0</v>
      </c>
      <c r="I134" s="1343"/>
      <c r="J134" s="90"/>
      <c r="K134" s="134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3"/>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0"/>
      <c r="C135" s="1341"/>
      <c r="D135" s="79"/>
      <c r="E135" s="86">
        <f t="shared" si="87"/>
        <v>0</v>
      </c>
      <c r="F135" s="87"/>
      <c r="G135" s="88">
        <f t="shared" si="62"/>
        <v>0</v>
      </c>
      <c r="H135" s="89">
        <f t="shared" si="63"/>
        <v>0</v>
      </c>
      <c r="I135" s="1343"/>
      <c r="J135" s="90"/>
      <c r="K135" s="134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3"/>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0"/>
      <c r="C136" s="1341"/>
      <c r="D136" s="79"/>
      <c r="E136" s="86">
        <f t="shared" si="87"/>
        <v>0</v>
      </c>
      <c r="F136" s="87"/>
      <c r="G136" s="88">
        <f t="shared" si="62"/>
        <v>0</v>
      </c>
      <c r="H136" s="89">
        <f t="shared" si="63"/>
        <v>0</v>
      </c>
      <c r="I136" s="1343"/>
      <c r="J136" s="90"/>
      <c r="K136" s="134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3"/>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0"/>
      <c r="C137" s="1341"/>
      <c r="D137" s="79"/>
      <c r="E137" s="86">
        <f t="shared" si="87"/>
        <v>0</v>
      </c>
      <c r="F137" s="87"/>
      <c r="G137" s="88">
        <f t="shared" si="62"/>
        <v>0</v>
      </c>
      <c r="H137" s="89">
        <f t="shared" si="63"/>
        <v>0</v>
      </c>
      <c r="I137" s="1343"/>
      <c r="J137" s="90"/>
      <c r="K137" s="134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3"/>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0"/>
      <c r="C138" s="1341"/>
      <c r="D138" s="79"/>
      <c r="E138" s="86">
        <f t="shared" si="87"/>
        <v>0</v>
      </c>
      <c r="F138" s="87"/>
      <c r="G138" s="88">
        <f t="shared" si="62"/>
        <v>0</v>
      </c>
      <c r="H138" s="89">
        <f t="shared" si="63"/>
        <v>0</v>
      </c>
      <c r="I138" s="1343"/>
      <c r="J138" s="90"/>
      <c r="K138" s="134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3"/>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0"/>
      <c r="C139" s="1341"/>
      <c r="D139" s="79"/>
      <c r="E139" s="86">
        <f t="shared" si="87"/>
        <v>0</v>
      </c>
      <c r="F139" s="87"/>
      <c r="G139" s="88">
        <f t="shared" si="62"/>
        <v>0</v>
      </c>
      <c r="H139" s="89">
        <f t="shared" si="63"/>
        <v>0</v>
      </c>
      <c r="I139" s="1343"/>
      <c r="J139" s="90"/>
      <c r="K139" s="134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1"/>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0"/>
      <c r="C140" s="1341"/>
      <c r="D140" s="79"/>
      <c r="E140" s="86">
        <f t="shared" si="87"/>
        <v>0</v>
      </c>
      <c r="F140" s="87"/>
      <c r="G140" s="88">
        <f t="shared" si="62"/>
        <v>0</v>
      </c>
      <c r="H140" s="89">
        <f t="shared" si="63"/>
        <v>0</v>
      </c>
      <c r="I140" s="1341"/>
      <c r="J140" s="90"/>
      <c r="K140" s="134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1"/>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0"/>
      <c r="C141" s="1341"/>
      <c r="D141" s="79"/>
      <c r="E141" s="86">
        <f t="shared" si="87"/>
        <v>0</v>
      </c>
      <c r="F141" s="87"/>
      <c r="G141" s="88">
        <f t="shared" si="62"/>
        <v>0</v>
      </c>
      <c r="H141" s="89">
        <f t="shared" si="63"/>
        <v>0</v>
      </c>
      <c r="I141" s="1341"/>
      <c r="J141" s="90"/>
      <c r="K141" s="134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1"/>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0"/>
      <c r="C142" s="1341"/>
      <c r="D142" s="79"/>
      <c r="E142" s="86">
        <f t="shared" si="87"/>
        <v>0</v>
      </c>
      <c r="F142" s="87"/>
      <c r="G142" s="88">
        <f t="shared" ref="G142:G173" si="91">H142+AC142+AT142</f>
        <v>0</v>
      </c>
      <c r="H142" s="89">
        <f t="shared" ref="H142:H173" si="92">SUMIF(I$12:AB$12,"总值",I142:AB142)</f>
        <v>0</v>
      </c>
      <c r="I142" s="1341"/>
      <c r="J142" s="90"/>
      <c r="K142" s="134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1"/>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0"/>
      <c r="C143" s="1341"/>
      <c r="D143" s="79"/>
      <c r="E143" s="86">
        <f t="shared" si="87"/>
        <v>0</v>
      </c>
      <c r="F143" s="87"/>
      <c r="G143" s="88">
        <f t="shared" si="91"/>
        <v>0</v>
      </c>
      <c r="H143" s="89">
        <f t="shared" si="92"/>
        <v>0</v>
      </c>
      <c r="I143" s="1341"/>
      <c r="J143" s="90"/>
      <c r="K143" s="134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1"/>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0"/>
      <c r="C144" s="1341"/>
      <c r="D144" s="79"/>
      <c r="E144" s="86">
        <f t="shared" si="87"/>
        <v>0</v>
      </c>
      <c r="F144" s="87"/>
      <c r="G144" s="88">
        <f t="shared" si="91"/>
        <v>0</v>
      </c>
      <c r="H144" s="89">
        <f t="shared" si="92"/>
        <v>0</v>
      </c>
      <c r="I144" s="1341"/>
      <c r="J144" s="90"/>
      <c r="K144" s="134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1"/>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0"/>
      <c r="C145" s="1341"/>
      <c r="D145" s="79"/>
      <c r="E145" s="86">
        <f t="shared" ref="E145:E176" si="116">IF($C$3="是",ROUND($A$3*G145/$B$3,2),ROUND($A$3*(G145-AT145)/$B$3,2))</f>
        <v>0</v>
      </c>
      <c r="F145" s="87"/>
      <c r="G145" s="88">
        <f t="shared" si="91"/>
        <v>0</v>
      </c>
      <c r="H145" s="89">
        <f t="shared" si="92"/>
        <v>0</v>
      </c>
      <c r="I145" s="1341"/>
      <c r="J145" s="90"/>
      <c r="K145" s="134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1"/>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0"/>
      <c r="C146" s="1341"/>
      <c r="D146" s="79"/>
      <c r="E146" s="86">
        <f t="shared" si="116"/>
        <v>0</v>
      </c>
      <c r="F146" s="87"/>
      <c r="G146" s="88">
        <f t="shared" si="91"/>
        <v>0</v>
      </c>
      <c r="H146" s="89">
        <f t="shared" si="92"/>
        <v>0</v>
      </c>
      <c r="I146" s="1341"/>
      <c r="J146" s="90"/>
      <c r="K146" s="134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1"/>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2"/>
      <c r="C147" s="1343"/>
      <c r="D147" s="79"/>
      <c r="E147" s="86">
        <f t="shared" si="116"/>
        <v>0</v>
      </c>
      <c r="F147" s="87"/>
      <c r="G147" s="88">
        <f t="shared" si="91"/>
        <v>0</v>
      </c>
      <c r="H147" s="89">
        <f t="shared" si="92"/>
        <v>0</v>
      </c>
      <c r="I147" s="1341"/>
      <c r="J147" s="90"/>
      <c r="K147" s="1341"/>
      <c r="L147" s="90"/>
      <c r="M147" s="1341"/>
      <c r="N147" s="90"/>
      <c r="O147" s="90"/>
      <c r="P147" s="90"/>
      <c r="Q147" s="90"/>
      <c r="R147" s="90"/>
      <c r="S147" s="90"/>
      <c r="T147" s="90"/>
      <c r="U147" s="90"/>
      <c r="V147" s="90"/>
      <c r="W147" s="90"/>
      <c r="X147" s="90"/>
      <c r="Y147" s="90"/>
      <c r="Z147" s="90"/>
      <c r="AA147" s="90"/>
      <c r="AB147" s="90"/>
      <c r="AC147" s="86">
        <f t="shared" si="93"/>
        <v>0</v>
      </c>
      <c r="AD147" s="91"/>
      <c r="AE147" s="91"/>
      <c r="AF147" s="1341"/>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0"/>
      <c r="C205" s="1341"/>
      <c r="D205" s="79"/>
      <c r="E205" s="86">
        <f t="shared" ref="E205:E296" si="149">IF($C$3="是",ROUND($A$3*G205/$B$3,2),ROUND($A$3*(G205-AT205)/$B$3,2))</f>
        <v>0</v>
      </c>
      <c r="F205" s="87"/>
      <c r="G205" s="88">
        <f t="shared" ref="G205:G293" si="150">H205+AC205+AT205</f>
        <v>0</v>
      </c>
      <c r="H205" s="89">
        <f t="shared" ref="H205:H293" si="151">SUMIF(I$12:AB$12,"总值",I205:AB205)</f>
        <v>0</v>
      </c>
      <c r="I205" s="1343"/>
      <c r="J205" s="90"/>
      <c r="K205" s="134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4"/>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0"/>
      <c r="C206" s="1341"/>
      <c r="D206" s="79"/>
      <c r="E206" s="86">
        <f t="shared" si="149"/>
        <v>0</v>
      </c>
      <c r="F206" s="87"/>
      <c r="G206" s="88">
        <f t="shared" si="150"/>
        <v>0</v>
      </c>
      <c r="H206" s="89">
        <f t="shared" si="151"/>
        <v>0</v>
      </c>
      <c r="I206" s="1343"/>
      <c r="J206" s="90"/>
      <c r="K206" s="1343"/>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4"/>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0"/>
      <c r="C207" s="1341"/>
      <c r="D207" s="79"/>
      <c r="E207" s="86">
        <f t="shared" si="149"/>
        <v>0</v>
      </c>
      <c r="F207" s="87"/>
      <c r="G207" s="88">
        <f t="shared" si="150"/>
        <v>0</v>
      </c>
      <c r="H207" s="89">
        <f t="shared" si="151"/>
        <v>0</v>
      </c>
      <c r="I207" s="1343"/>
      <c r="J207" s="90"/>
      <c r="K207" s="1343"/>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4"/>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0"/>
      <c r="C208" s="1341"/>
      <c r="D208" s="79"/>
      <c r="E208" s="86">
        <f t="shared" si="149"/>
        <v>0</v>
      </c>
      <c r="F208" s="87"/>
      <c r="G208" s="88">
        <f t="shared" si="150"/>
        <v>0</v>
      </c>
      <c r="H208" s="89">
        <f t="shared" si="151"/>
        <v>0</v>
      </c>
      <c r="I208" s="1343"/>
      <c r="J208" s="90"/>
      <c r="K208" s="1343"/>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4"/>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0"/>
      <c r="C209" s="1341"/>
      <c r="D209" s="79"/>
      <c r="E209" s="86">
        <f t="shared" si="149"/>
        <v>0</v>
      </c>
      <c r="F209" s="87"/>
      <c r="G209" s="88">
        <f t="shared" si="150"/>
        <v>0</v>
      </c>
      <c r="H209" s="89">
        <f t="shared" si="151"/>
        <v>0</v>
      </c>
      <c r="I209" s="1343"/>
      <c r="J209" s="90"/>
      <c r="K209" s="134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4"/>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0"/>
      <c r="C210" s="1341"/>
      <c r="D210" s="79"/>
      <c r="E210" s="86">
        <f t="shared" si="149"/>
        <v>0</v>
      </c>
      <c r="F210" s="87"/>
      <c r="G210" s="88">
        <f t="shared" si="150"/>
        <v>0</v>
      </c>
      <c r="H210" s="89">
        <f t="shared" si="151"/>
        <v>0</v>
      </c>
      <c r="I210" s="1343"/>
      <c r="J210" s="90"/>
      <c r="K210" s="134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4"/>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0"/>
      <c r="C211" s="1341"/>
      <c r="D211" s="79"/>
      <c r="E211" s="86">
        <f t="shared" si="149"/>
        <v>0</v>
      </c>
      <c r="F211" s="87"/>
      <c r="G211" s="88">
        <f t="shared" si="150"/>
        <v>0</v>
      </c>
      <c r="H211" s="89">
        <f t="shared" si="151"/>
        <v>0</v>
      </c>
      <c r="I211" s="1343"/>
      <c r="J211" s="90"/>
      <c r="K211" s="134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4"/>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0"/>
      <c r="C212" s="1341"/>
      <c r="D212" s="79"/>
      <c r="E212" s="86">
        <f t="shared" si="149"/>
        <v>0</v>
      </c>
      <c r="F212" s="87"/>
      <c r="G212" s="88">
        <f t="shared" si="150"/>
        <v>0</v>
      </c>
      <c r="H212" s="89">
        <f t="shared" si="151"/>
        <v>0</v>
      </c>
      <c r="I212" s="1343"/>
      <c r="J212" s="90"/>
      <c r="K212" s="134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3"/>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2"/>
      <c r="C213" s="1343"/>
      <c r="D213" s="79"/>
      <c r="E213" s="86">
        <f t="shared" si="149"/>
        <v>0</v>
      </c>
      <c r="F213" s="87"/>
      <c r="G213" s="88">
        <f t="shared" si="150"/>
        <v>0</v>
      </c>
      <c r="H213" s="89">
        <f t="shared" si="151"/>
        <v>0</v>
      </c>
      <c r="I213" s="1343"/>
      <c r="J213" s="90"/>
      <c r="K213" s="134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3"/>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0"/>
      <c r="C214" s="1341"/>
      <c r="D214" s="79"/>
      <c r="E214" s="86">
        <f t="shared" si="149"/>
        <v>0</v>
      </c>
      <c r="F214" s="87"/>
      <c r="G214" s="88">
        <f t="shared" si="150"/>
        <v>0</v>
      </c>
      <c r="H214" s="89">
        <f t="shared" si="151"/>
        <v>0</v>
      </c>
      <c r="I214" s="1343"/>
      <c r="J214" s="90"/>
      <c r="K214" s="134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3"/>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0"/>
      <c r="C215" s="1341"/>
      <c r="D215" s="79"/>
      <c r="E215" s="86">
        <f t="shared" si="149"/>
        <v>0</v>
      </c>
      <c r="F215" s="87"/>
      <c r="G215" s="88">
        <f t="shared" si="150"/>
        <v>0</v>
      </c>
      <c r="H215" s="89">
        <f t="shared" si="151"/>
        <v>0</v>
      </c>
      <c r="I215" s="1343"/>
      <c r="J215" s="90"/>
      <c r="K215" s="134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3"/>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0"/>
      <c r="C216" s="1341"/>
      <c r="D216" s="79"/>
      <c r="E216" s="86">
        <f t="shared" si="149"/>
        <v>0</v>
      </c>
      <c r="F216" s="87"/>
      <c r="G216" s="88">
        <f t="shared" si="150"/>
        <v>0</v>
      </c>
      <c r="H216" s="89">
        <f t="shared" si="151"/>
        <v>0</v>
      </c>
      <c r="I216" s="1343"/>
      <c r="J216" s="90"/>
      <c r="K216" s="134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3"/>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0"/>
      <c r="C217" s="1341"/>
      <c r="D217" s="79"/>
      <c r="E217" s="86">
        <f t="shared" si="149"/>
        <v>0</v>
      </c>
      <c r="F217" s="87"/>
      <c r="G217" s="88">
        <f t="shared" si="150"/>
        <v>0</v>
      </c>
      <c r="H217" s="89">
        <f t="shared" si="151"/>
        <v>0</v>
      </c>
      <c r="I217" s="1343"/>
      <c r="J217" s="90"/>
      <c r="K217" s="134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3"/>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0"/>
      <c r="C218" s="1341"/>
      <c r="D218" s="79"/>
      <c r="E218" s="86">
        <f t="shared" si="149"/>
        <v>0</v>
      </c>
      <c r="F218" s="87"/>
      <c r="G218" s="88">
        <f t="shared" si="150"/>
        <v>0</v>
      </c>
      <c r="H218" s="89">
        <f t="shared" si="151"/>
        <v>0</v>
      </c>
      <c r="I218" s="1343"/>
      <c r="J218" s="90"/>
      <c r="K218" s="134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3"/>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0"/>
      <c r="C219" s="1341"/>
      <c r="D219" s="79"/>
      <c r="E219" s="86">
        <f t="shared" si="149"/>
        <v>0</v>
      </c>
      <c r="F219" s="87"/>
      <c r="G219" s="88">
        <f t="shared" si="150"/>
        <v>0</v>
      </c>
      <c r="H219" s="89">
        <f t="shared" si="151"/>
        <v>0</v>
      </c>
      <c r="I219" s="1343"/>
      <c r="J219" s="90"/>
      <c r="K219" s="134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3"/>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0"/>
      <c r="C220" s="1341"/>
      <c r="D220" s="79"/>
      <c r="E220" s="86">
        <f t="shared" si="149"/>
        <v>0</v>
      </c>
      <c r="F220" s="87"/>
      <c r="G220" s="88">
        <f t="shared" si="150"/>
        <v>0</v>
      </c>
      <c r="H220" s="89">
        <f t="shared" si="151"/>
        <v>0</v>
      </c>
      <c r="I220" s="1343"/>
      <c r="J220" s="90"/>
      <c r="K220" s="134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3"/>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0"/>
      <c r="C221" s="1341"/>
      <c r="D221" s="79"/>
      <c r="E221" s="86">
        <f t="shared" si="149"/>
        <v>0</v>
      </c>
      <c r="F221" s="87"/>
      <c r="G221" s="88">
        <f t="shared" si="150"/>
        <v>0</v>
      </c>
      <c r="H221" s="89">
        <f t="shared" si="151"/>
        <v>0</v>
      </c>
      <c r="I221" s="1343"/>
      <c r="J221" s="90"/>
      <c r="K221" s="134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3"/>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0"/>
      <c r="C222" s="1341"/>
      <c r="D222" s="79"/>
      <c r="E222" s="86">
        <f t="shared" si="149"/>
        <v>0</v>
      </c>
      <c r="F222" s="87"/>
      <c r="G222" s="88">
        <f t="shared" si="150"/>
        <v>0</v>
      </c>
      <c r="H222" s="89">
        <f t="shared" si="151"/>
        <v>0</v>
      </c>
      <c r="I222" s="1343"/>
      <c r="J222" s="90"/>
      <c r="K222" s="134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3"/>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0"/>
      <c r="C223" s="1341"/>
      <c r="D223" s="79"/>
      <c r="E223" s="86">
        <f t="shared" si="149"/>
        <v>0</v>
      </c>
      <c r="F223" s="87"/>
      <c r="G223" s="88">
        <f t="shared" si="150"/>
        <v>0</v>
      </c>
      <c r="H223" s="89">
        <f t="shared" si="151"/>
        <v>0</v>
      </c>
      <c r="I223" s="1343"/>
      <c r="J223" s="90"/>
      <c r="K223" s="134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3"/>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0"/>
      <c r="C224" s="1341"/>
      <c r="D224" s="79"/>
      <c r="E224" s="86">
        <f t="shared" si="149"/>
        <v>0</v>
      </c>
      <c r="F224" s="87"/>
      <c r="G224" s="88">
        <f t="shared" si="150"/>
        <v>0</v>
      </c>
      <c r="H224" s="89">
        <f t="shared" si="151"/>
        <v>0</v>
      </c>
      <c r="I224" s="1343"/>
      <c r="J224" s="90"/>
      <c r="K224" s="134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3"/>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0"/>
      <c r="C225" s="1341"/>
      <c r="D225" s="79"/>
      <c r="E225" s="86">
        <f t="shared" si="149"/>
        <v>0</v>
      </c>
      <c r="F225" s="87"/>
      <c r="G225" s="88">
        <f t="shared" si="150"/>
        <v>0</v>
      </c>
      <c r="H225" s="89">
        <f t="shared" si="151"/>
        <v>0</v>
      </c>
      <c r="I225" s="1343"/>
      <c r="J225" s="90"/>
      <c r="K225" s="134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3"/>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0"/>
      <c r="C226" s="1341"/>
      <c r="D226" s="79"/>
      <c r="E226" s="86">
        <f t="shared" si="149"/>
        <v>0</v>
      </c>
      <c r="F226" s="87"/>
      <c r="G226" s="88">
        <f t="shared" si="150"/>
        <v>0</v>
      </c>
      <c r="H226" s="89">
        <f t="shared" si="151"/>
        <v>0</v>
      </c>
      <c r="I226" s="1343"/>
      <c r="J226" s="90"/>
      <c r="K226" s="134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3"/>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0"/>
      <c r="C227" s="1341"/>
      <c r="D227" s="79"/>
      <c r="E227" s="86">
        <f t="shared" si="149"/>
        <v>0</v>
      </c>
      <c r="F227" s="87"/>
      <c r="G227" s="88">
        <f t="shared" si="150"/>
        <v>0</v>
      </c>
      <c r="H227" s="89">
        <f t="shared" si="151"/>
        <v>0</v>
      </c>
      <c r="I227" s="1343"/>
      <c r="J227" s="90"/>
      <c r="K227" s="134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3"/>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0"/>
      <c r="C228" s="1341"/>
      <c r="D228" s="79"/>
      <c r="E228" s="86">
        <f t="shared" si="149"/>
        <v>0</v>
      </c>
      <c r="F228" s="87"/>
      <c r="G228" s="88">
        <f t="shared" si="150"/>
        <v>0</v>
      </c>
      <c r="H228" s="89">
        <f t="shared" si="151"/>
        <v>0</v>
      </c>
      <c r="I228" s="1343"/>
      <c r="J228" s="90"/>
      <c r="K228" s="134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3"/>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0"/>
      <c r="C229" s="1341"/>
      <c r="D229" s="79"/>
      <c r="E229" s="86">
        <f t="shared" si="149"/>
        <v>0</v>
      </c>
      <c r="F229" s="87"/>
      <c r="G229" s="88">
        <f t="shared" si="150"/>
        <v>0</v>
      </c>
      <c r="H229" s="89">
        <f t="shared" si="151"/>
        <v>0</v>
      </c>
      <c r="I229" s="1343"/>
      <c r="J229" s="90"/>
      <c r="K229" s="134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3"/>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0"/>
      <c r="C230" s="1341"/>
      <c r="D230" s="79"/>
      <c r="E230" s="86">
        <f t="shared" si="149"/>
        <v>0</v>
      </c>
      <c r="F230" s="87"/>
      <c r="G230" s="88">
        <f t="shared" si="150"/>
        <v>0</v>
      </c>
      <c r="H230" s="89">
        <f t="shared" si="151"/>
        <v>0</v>
      </c>
      <c r="I230" s="1343"/>
      <c r="J230" s="90"/>
      <c r="K230" s="134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3"/>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0"/>
      <c r="C231" s="1341"/>
      <c r="D231" s="79"/>
      <c r="E231" s="86">
        <f t="shared" si="149"/>
        <v>0</v>
      </c>
      <c r="F231" s="87"/>
      <c r="G231" s="88">
        <f t="shared" si="150"/>
        <v>0</v>
      </c>
      <c r="H231" s="89">
        <f t="shared" si="151"/>
        <v>0</v>
      </c>
      <c r="I231" s="1343"/>
      <c r="J231" s="90"/>
      <c r="K231" s="134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1"/>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0"/>
      <c r="C232" s="1341"/>
      <c r="D232" s="79"/>
      <c r="E232" s="86">
        <f t="shared" si="149"/>
        <v>0</v>
      </c>
      <c r="F232" s="87"/>
      <c r="G232" s="88">
        <f t="shared" si="150"/>
        <v>0</v>
      </c>
      <c r="H232" s="89">
        <f t="shared" si="151"/>
        <v>0</v>
      </c>
      <c r="I232" s="1341"/>
      <c r="J232" s="90"/>
      <c r="K232" s="134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1"/>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0"/>
      <c r="C233" s="1341"/>
      <c r="D233" s="79"/>
      <c r="E233" s="86">
        <f t="shared" si="149"/>
        <v>0</v>
      </c>
      <c r="F233" s="87"/>
      <c r="G233" s="88">
        <f t="shared" si="150"/>
        <v>0</v>
      </c>
      <c r="H233" s="89">
        <f t="shared" si="151"/>
        <v>0</v>
      </c>
      <c r="I233" s="1341"/>
      <c r="J233" s="90"/>
      <c r="K233" s="134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1"/>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0"/>
      <c r="C234" s="1341"/>
      <c r="D234" s="79"/>
      <c r="E234" s="86">
        <f t="shared" si="149"/>
        <v>0</v>
      </c>
      <c r="F234" s="87"/>
      <c r="G234" s="88">
        <f t="shared" si="150"/>
        <v>0</v>
      </c>
      <c r="H234" s="89">
        <f t="shared" si="151"/>
        <v>0</v>
      </c>
      <c r="I234" s="1341"/>
      <c r="J234" s="90"/>
      <c r="K234" s="134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1"/>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0"/>
      <c r="C235" s="1341"/>
      <c r="D235" s="79"/>
      <c r="E235" s="86">
        <f t="shared" si="149"/>
        <v>0</v>
      </c>
      <c r="F235" s="87"/>
      <c r="G235" s="88">
        <f t="shared" si="150"/>
        <v>0</v>
      </c>
      <c r="H235" s="89">
        <f t="shared" si="151"/>
        <v>0</v>
      </c>
      <c r="I235" s="1341"/>
      <c r="J235" s="90"/>
      <c r="K235" s="134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1"/>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0"/>
      <c r="C236" s="1341"/>
      <c r="D236" s="79"/>
      <c r="E236" s="86">
        <f t="shared" si="149"/>
        <v>0</v>
      </c>
      <c r="F236" s="87"/>
      <c r="G236" s="88">
        <f t="shared" si="150"/>
        <v>0</v>
      </c>
      <c r="H236" s="89">
        <f t="shared" si="151"/>
        <v>0</v>
      </c>
      <c r="I236" s="1341"/>
      <c r="J236" s="90"/>
      <c r="K236" s="134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1"/>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0"/>
      <c r="C237" s="1341"/>
      <c r="D237" s="79"/>
      <c r="E237" s="86">
        <f t="shared" si="149"/>
        <v>0</v>
      </c>
      <c r="F237" s="87"/>
      <c r="G237" s="88">
        <f t="shared" si="150"/>
        <v>0</v>
      </c>
      <c r="H237" s="89">
        <f t="shared" si="151"/>
        <v>0</v>
      </c>
      <c r="I237" s="1341"/>
      <c r="J237" s="90"/>
      <c r="K237" s="134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1"/>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0"/>
      <c r="C238" s="1341"/>
      <c r="D238" s="79"/>
      <c r="E238" s="86">
        <f t="shared" si="149"/>
        <v>0</v>
      </c>
      <c r="F238" s="87"/>
      <c r="G238" s="88">
        <f t="shared" si="150"/>
        <v>0</v>
      </c>
      <c r="H238" s="89">
        <f t="shared" si="151"/>
        <v>0</v>
      </c>
      <c r="I238" s="1341"/>
      <c r="J238" s="90"/>
      <c r="K238" s="134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1"/>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2"/>
      <c r="C239" s="1343"/>
      <c r="D239" s="79"/>
      <c r="E239" s="86">
        <f t="shared" si="149"/>
        <v>0</v>
      </c>
      <c r="F239" s="87"/>
      <c r="G239" s="88">
        <f t="shared" si="150"/>
        <v>0</v>
      </c>
      <c r="H239" s="89">
        <f t="shared" si="151"/>
        <v>0</v>
      </c>
      <c r="I239" s="1341"/>
      <c r="J239" s="90"/>
      <c r="K239" s="1341"/>
      <c r="L239" s="90"/>
      <c r="M239" s="1341"/>
      <c r="N239" s="90"/>
      <c r="O239" s="90"/>
      <c r="P239" s="90"/>
      <c r="Q239" s="90"/>
      <c r="R239" s="90"/>
      <c r="S239" s="90"/>
      <c r="T239" s="90"/>
      <c r="U239" s="90"/>
      <c r="V239" s="90"/>
      <c r="W239" s="90"/>
      <c r="X239" s="90"/>
      <c r="Y239" s="90"/>
      <c r="Z239" s="90"/>
      <c r="AA239" s="90"/>
      <c r="AB239" s="90"/>
      <c r="AC239" s="86">
        <f t="shared" si="152"/>
        <v>0</v>
      </c>
      <c r="AD239" s="91"/>
      <c r="AE239" s="91"/>
      <c r="AF239" s="1341"/>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0"/>
      <c r="C297" s="1341"/>
      <c r="D297" s="79"/>
      <c r="E297" s="86">
        <f t="shared" ref="E297:E328" si="203">IF($C$3="是",ROUND($A$3*G297/$B$3,2),ROUND($A$3*(G297-AT297)/$B$3,2))</f>
        <v>0</v>
      </c>
      <c r="F297" s="87"/>
      <c r="G297" s="88">
        <f t="shared" si="178"/>
        <v>0</v>
      </c>
      <c r="H297" s="89">
        <f t="shared" si="179"/>
        <v>0</v>
      </c>
      <c r="I297" s="1343"/>
      <c r="J297" s="90"/>
      <c r="K297" s="134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4"/>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0"/>
      <c r="C298" s="1341"/>
      <c r="D298" s="79"/>
      <c r="E298" s="86">
        <f t="shared" si="203"/>
        <v>0</v>
      </c>
      <c r="F298" s="87"/>
      <c r="G298" s="88">
        <f t="shared" si="178"/>
        <v>0</v>
      </c>
      <c r="H298" s="89">
        <f t="shared" si="179"/>
        <v>0</v>
      </c>
      <c r="I298" s="1343"/>
      <c r="J298" s="90"/>
      <c r="K298" s="1343"/>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4"/>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0"/>
      <c r="C299" s="1341"/>
      <c r="D299" s="79"/>
      <c r="E299" s="86">
        <f t="shared" si="203"/>
        <v>0</v>
      </c>
      <c r="F299" s="87"/>
      <c r="G299" s="88">
        <f t="shared" si="178"/>
        <v>0</v>
      </c>
      <c r="H299" s="89">
        <f t="shared" si="179"/>
        <v>0</v>
      </c>
      <c r="I299" s="1343"/>
      <c r="J299" s="90"/>
      <c r="K299" s="1343"/>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4"/>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0"/>
      <c r="C300" s="1341"/>
      <c r="D300" s="79"/>
      <c r="E300" s="86">
        <f t="shared" si="203"/>
        <v>0</v>
      </c>
      <c r="F300" s="87"/>
      <c r="G300" s="88">
        <f t="shared" si="178"/>
        <v>0</v>
      </c>
      <c r="H300" s="89">
        <f t="shared" si="179"/>
        <v>0</v>
      </c>
      <c r="I300" s="1343"/>
      <c r="J300" s="90"/>
      <c r="K300" s="1343"/>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4"/>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0"/>
      <c r="C301" s="1341"/>
      <c r="D301" s="79"/>
      <c r="E301" s="86">
        <f t="shared" si="203"/>
        <v>0</v>
      </c>
      <c r="F301" s="87"/>
      <c r="G301" s="88">
        <f t="shared" si="178"/>
        <v>0</v>
      </c>
      <c r="H301" s="89">
        <f t="shared" si="179"/>
        <v>0</v>
      </c>
      <c r="I301" s="1343"/>
      <c r="J301" s="90"/>
      <c r="K301" s="134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4"/>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0"/>
      <c r="C302" s="1341"/>
      <c r="D302" s="79"/>
      <c r="E302" s="86">
        <f t="shared" si="203"/>
        <v>0</v>
      </c>
      <c r="F302" s="87"/>
      <c r="G302" s="88">
        <f t="shared" si="178"/>
        <v>0</v>
      </c>
      <c r="H302" s="89">
        <f t="shared" si="179"/>
        <v>0</v>
      </c>
      <c r="I302" s="1343"/>
      <c r="J302" s="90"/>
      <c r="K302" s="134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4"/>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0"/>
      <c r="C303" s="1341"/>
      <c r="D303" s="79"/>
      <c r="E303" s="86">
        <f t="shared" si="203"/>
        <v>0</v>
      </c>
      <c r="F303" s="87"/>
      <c r="G303" s="88">
        <f t="shared" si="178"/>
        <v>0</v>
      </c>
      <c r="H303" s="89">
        <f t="shared" si="179"/>
        <v>0</v>
      </c>
      <c r="I303" s="1343"/>
      <c r="J303" s="90"/>
      <c r="K303" s="134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4"/>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0"/>
      <c r="C304" s="1341"/>
      <c r="D304" s="79"/>
      <c r="E304" s="86">
        <f t="shared" si="203"/>
        <v>0</v>
      </c>
      <c r="F304" s="87"/>
      <c r="G304" s="88">
        <f t="shared" si="178"/>
        <v>0</v>
      </c>
      <c r="H304" s="89">
        <f t="shared" si="179"/>
        <v>0</v>
      </c>
      <c r="I304" s="1343"/>
      <c r="J304" s="90"/>
      <c r="K304" s="134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3"/>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2"/>
      <c r="C305" s="1343"/>
      <c r="D305" s="79"/>
      <c r="E305" s="86">
        <f t="shared" si="203"/>
        <v>0</v>
      </c>
      <c r="F305" s="87"/>
      <c r="G305" s="88">
        <f t="shared" si="178"/>
        <v>0</v>
      </c>
      <c r="H305" s="89">
        <f t="shared" si="179"/>
        <v>0</v>
      </c>
      <c r="I305" s="1343"/>
      <c r="J305" s="90"/>
      <c r="K305" s="134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3"/>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0"/>
      <c r="C306" s="1341"/>
      <c r="D306" s="79"/>
      <c r="E306" s="86">
        <f t="shared" si="203"/>
        <v>0</v>
      </c>
      <c r="F306" s="87"/>
      <c r="G306" s="88">
        <f t="shared" si="178"/>
        <v>0</v>
      </c>
      <c r="H306" s="89">
        <f t="shared" si="179"/>
        <v>0</v>
      </c>
      <c r="I306" s="1343"/>
      <c r="J306" s="90"/>
      <c r="K306" s="134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3"/>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0"/>
      <c r="C307" s="1341"/>
      <c r="D307" s="79"/>
      <c r="E307" s="86">
        <f t="shared" si="203"/>
        <v>0</v>
      </c>
      <c r="F307" s="87"/>
      <c r="G307" s="88">
        <f t="shared" si="178"/>
        <v>0</v>
      </c>
      <c r="H307" s="89">
        <f t="shared" si="179"/>
        <v>0</v>
      </c>
      <c r="I307" s="1343"/>
      <c r="J307" s="90"/>
      <c r="K307" s="134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3"/>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0"/>
      <c r="C308" s="1341"/>
      <c r="D308" s="79"/>
      <c r="E308" s="86">
        <f t="shared" si="203"/>
        <v>0</v>
      </c>
      <c r="F308" s="87"/>
      <c r="G308" s="88">
        <f t="shared" si="178"/>
        <v>0</v>
      </c>
      <c r="H308" s="89">
        <f t="shared" si="179"/>
        <v>0</v>
      </c>
      <c r="I308" s="1343"/>
      <c r="J308" s="90"/>
      <c r="K308" s="134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3"/>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0"/>
      <c r="C309" s="1341"/>
      <c r="D309" s="79"/>
      <c r="E309" s="86">
        <f t="shared" si="203"/>
        <v>0</v>
      </c>
      <c r="F309" s="87"/>
      <c r="G309" s="88">
        <f t="shared" si="178"/>
        <v>0</v>
      </c>
      <c r="H309" s="89">
        <f t="shared" si="179"/>
        <v>0</v>
      </c>
      <c r="I309" s="1343"/>
      <c r="J309" s="90"/>
      <c r="K309" s="134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3"/>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0"/>
      <c r="C310" s="1341"/>
      <c r="D310" s="79"/>
      <c r="E310" s="86">
        <f t="shared" si="203"/>
        <v>0</v>
      </c>
      <c r="F310" s="87"/>
      <c r="G310" s="88">
        <f t="shared" si="178"/>
        <v>0</v>
      </c>
      <c r="H310" s="89">
        <f t="shared" si="179"/>
        <v>0</v>
      </c>
      <c r="I310" s="1343"/>
      <c r="J310" s="90"/>
      <c r="K310" s="134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3"/>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0"/>
      <c r="C311" s="1341"/>
      <c r="D311" s="79"/>
      <c r="E311" s="86">
        <f t="shared" si="203"/>
        <v>0</v>
      </c>
      <c r="F311" s="87"/>
      <c r="G311" s="88">
        <f t="shared" si="178"/>
        <v>0</v>
      </c>
      <c r="H311" s="89">
        <f t="shared" si="179"/>
        <v>0</v>
      </c>
      <c r="I311" s="1343"/>
      <c r="J311" s="90"/>
      <c r="K311" s="134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3"/>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0"/>
      <c r="C312" s="1341"/>
      <c r="D312" s="79"/>
      <c r="E312" s="86">
        <f t="shared" si="203"/>
        <v>0</v>
      </c>
      <c r="F312" s="87"/>
      <c r="G312" s="88">
        <f t="shared" si="178"/>
        <v>0</v>
      </c>
      <c r="H312" s="89">
        <f t="shared" si="179"/>
        <v>0</v>
      </c>
      <c r="I312" s="1343"/>
      <c r="J312" s="90"/>
      <c r="K312" s="134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3"/>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0"/>
      <c r="C313" s="1341"/>
      <c r="D313" s="79"/>
      <c r="E313" s="86">
        <f t="shared" si="203"/>
        <v>0</v>
      </c>
      <c r="F313" s="87"/>
      <c r="G313" s="88">
        <f t="shared" si="178"/>
        <v>0</v>
      </c>
      <c r="H313" s="89">
        <f t="shared" si="179"/>
        <v>0</v>
      </c>
      <c r="I313" s="1343"/>
      <c r="J313" s="90"/>
      <c r="K313" s="134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3"/>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0"/>
      <c r="C314" s="1341"/>
      <c r="D314" s="79"/>
      <c r="E314" s="86">
        <f t="shared" si="203"/>
        <v>0</v>
      </c>
      <c r="F314" s="87"/>
      <c r="G314" s="88">
        <f t="shared" si="178"/>
        <v>0</v>
      </c>
      <c r="H314" s="89">
        <f t="shared" si="179"/>
        <v>0</v>
      </c>
      <c r="I314" s="1343"/>
      <c r="J314" s="90"/>
      <c r="K314" s="134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3"/>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0"/>
      <c r="C315" s="1341"/>
      <c r="D315" s="79"/>
      <c r="E315" s="86">
        <f t="shared" si="203"/>
        <v>0</v>
      </c>
      <c r="F315" s="87"/>
      <c r="G315" s="88">
        <f t="shared" si="178"/>
        <v>0</v>
      </c>
      <c r="H315" s="89">
        <f t="shared" si="179"/>
        <v>0</v>
      </c>
      <c r="I315" s="1343"/>
      <c r="J315" s="90"/>
      <c r="K315" s="134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3"/>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0"/>
      <c r="C316" s="1341"/>
      <c r="D316" s="79"/>
      <c r="E316" s="86">
        <f t="shared" si="203"/>
        <v>0</v>
      </c>
      <c r="F316" s="87"/>
      <c r="G316" s="88">
        <f t="shared" si="178"/>
        <v>0</v>
      </c>
      <c r="H316" s="89">
        <f t="shared" si="179"/>
        <v>0</v>
      </c>
      <c r="I316" s="1343"/>
      <c r="J316" s="90"/>
      <c r="K316" s="134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3"/>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0"/>
      <c r="C317" s="1341"/>
      <c r="D317" s="79"/>
      <c r="E317" s="86">
        <f t="shared" si="203"/>
        <v>0</v>
      </c>
      <c r="F317" s="87"/>
      <c r="G317" s="88">
        <f t="shared" si="178"/>
        <v>0</v>
      </c>
      <c r="H317" s="89">
        <f t="shared" si="179"/>
        <v>0</v>
      </c>
      <c r="I317" s="1343"/>
      <c r="J317" s="90"/>
      <c r="K317" s="134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3"/>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0"/>
      <c r="C318" s="1341"/>
      <c r="D318" s="79"/>
      <c r="E318" s="86">
        <f t="shared" si="203"/>
        <v>0</v>
      </c>
      <c r="F318" s="87"/>
      <c r="G318" s="88">
        <f t="shared" si="178"/>
        <v>0</v>
      </c>
      <c r="H318" s="89">
        <f t="shared" si="179"/>
        <v>0</v>
      </c>
      <c r="I318" s="1343"/>
      <c r="J318" s="90"/>
      <c r="K318" s="134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3"/>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0"/>
      <c r="C319" s="1341"/>
      <c r="D319" s="79"/>
      <c r="E319" s="86">
        <f t="shared" si="203"/>
        <v>0</v>
      </c>
      <c r="F319" s="87"/>
      <c r="G319" s="88">
        <f t="shared" si="178"/>
        <v>0</v>
      </c>
      <c r="H319" s="89">
        <f t="shared" si="179"/>
        <v>0</v>
      </c>
      <c r="I319" s="1343"/>
      <c r="J319" s="90"/>
      <c r="K319" s="134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3"/>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0"/>
      <c r="C320" s="1341"/>
      <c r="D320" s="79"/>
      <c r="E320" s="86">
        <f t="shared" si="203"/>
        <v>0</v>
      </c>
      <c r="F320" s="87"/>
      <c r="G320" s="88">
        <f t="shared" si="178"/>
        <v>0</v>
      </c>
      <c r="H320" s="89">
        <f t="shared" si="179"/>
        <v>0</v>
      </c>
      <c r="I320" s="1343"/>
      <c r="J320" s="90"/>
      <c r="K320" s="134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3"/>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0"/>
      <c r="C321" s="1341"/>
      <c r="D321" s="79"/>
      <c r="E321" s="86">
        <f t="shared" si="203"/>
        <v>0</v>
      </c>
      <c r="F321" s="87"/>
      <c r="G321" s="88">
        <f t="shared" si="178"/>
        <v>0</v>
      </c>
      <c r="H321" s="89">
        <f t="shared" si="179"/>
        <v>0</v>
      </c>
      <c r="I321" s="1343"/>
      <c r="J321" s="90"/>
      <c r="K321" s="134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3"/>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0"/>
      <c r="C322" s="1341"/>
      <c r="D322" s="79"/>
      <c r="E322" s="86">
        <f t="shared" si="203"/>
        <v>0</v>
      </c>
      <c r="F322" s="87"/>
      <c r="G322" s="88">
        <f t="shared" si="178"/>
        <v>0</v>
      </c>
      <c r="H322" s="89">
        <f t="shared" si="179"/>
        <v>0</v>
      </c>
      <c r="I322" s="1343"/>
      <c r="J322" s="90"/>
      <c r="K322" s="134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3"/>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0"/>
      <c r="C323" s="1341"/>
      <c r="D323" s="79"/>
      <c r="E323" s="86">
        <f t="shared" si="203"/>
        <v>0</v>
      </c>
      <c r="F323" s="87"/>
      <c r="G323" s="88">
        <f t="shared" si="178"/>
        <v>0</v>
      </c>
      <c r="H323" s="89">
        <f t="shared" si="179"/>
        <v>0</v>
      </c>
      <c r="I323" s="1343"/>
      <c r="J323" s="90"/>
      <c r="K323" s="134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1"/>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0"/>
      <c r="C324" s="1341"/>
      <c r="D324" s="79"/>
      <c r="E324" s="86">
        <f t="shared" si="203"/>
        <v>0</v>
      </c>
      <c r="F324" s="87"/>
      <c r="G324" s="88">
        <f t="shared" si="178"/>
        <v>0</v>
      </c>
      <c r="H324" s="89">
        <f t="shared" si="179"/>
        <v>0</v>
      </c>
      <c r="I324" s="1341"/>
      <c r="J324" s="90"/>
      <c r="K324" s="134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1"/>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0"/>
      <c r="C325" s="1341"/>
      <c r="D325" s="79"/>
      <c r="E325" s="86">
        <f t="shared" si="203"/>
        <v>0</v>
      </c>
      <c r="F325" s="87"/>
      <c r="G325" s="88">
        <f t="shared" si="178"/>
        <v>0</v>
      </c>
      <c r="H325" s="89">
        <f t="shared" si="179"/>
        <v>0</v>
      </c>
      <c r="I325" s="1341"/>
      <c r="J325" s="90"/>
      <c r="K325" s="134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1"/>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0"/>
      <c r="C326" s="1341"/>
      <c r="D326" s="79"/>
      <c r="E326" s="86">
        <f t="shared" si="203"/>
        <v>0</v>
      </c>
      <c r="F326" s="87"/>
      <c r="G326" s="88">
        <f t="shared" ref="G326:G357" si="207">H326+AC326+AT326</f>
        <v>0</v>
      </c>
      <c r="H326" s="89">
        <f t="shared" ref="H326:H357" si="208">SUMIF(I$12:AB$12,"总值",I326:AB326)</f>
        <v>0</v>
      </c>
      <c r="I326" s="1341"/>
      <c r="J326" s="90"/>
      <c r="K326" s="134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1"/>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0"/>
      <c r="C327" s="1341"/>
      <c r="D327" s="79"/>
      <c r="E327" s="86">
        <f t="shared" si="203"/>
        <v>0</v>
      </c>
      <c r="F327" s="87"/>
      <c r="G327" s="88">
        <f t="shared" si="207"/>
        <v>0</v>
      </c>
      <c r="H327" s="89">
        <f t="shared" si="208"/>
        <v>0</v>
      </c>
      <c r="I327" s="1341"/>
      <c r="J327" s="90"/>
      <c r="K327" s="134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1"/>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0"/>
      <c r="C328" s="1341"/>
      <c r="D328" s="79"/>
      <c r="E328" s="86">
        <f t="shared" si="203"/>
        <v>0</v>
      </c>
      <c r="F328" s="87"/>
      <c r="G328" s="88">
        <f t="shared" si="207"/>
        <v>0</v>
      </c>
      <c r="H328" s="89">
        <f t="shared" si="208"/>
        <v>0</v>
      </c>
      <c r="I328" s="1341"/>
      <c r="J328" s="90"/>
      <c r="K328" s="134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1"/>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0"/>
      <c r="C329" s="1341"/>
      <c r="D329" s="79"/>
      <c r="E329" s="86">
        <f t="shared" ref="E329:E360" si="232">IF($C$3="是",ROUND($A$3*G329/$B$3,2),ROUND($A$3*(G329-AT329)/$B$3,2))</f>
        <v>0</v>
      </c>
      <c r="F329" s="87"/>
      <c r="G329" s="88">
        <f t="shared" si="207"/>
        <v>0</v>
      </c>
      <c r="H329" s="89">
        <f t="shared" si="208"/>
        <v>0</v>
      </c>
      <c r="I329" s="1341"/>
      <c r="J329" s="90"/>
      <c r="K329" s="134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1"/>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0"/>
      <c r="C330" s="1341"/>
      <c r="D330" s="79"/>
      <c r="E330" s="86">
        <f t="shared" si="232"/>
        <v>0</v>
      </c>
      <c r="F330" s="87"/>
      <c r="G330" s="88">
        <f t="shared" si="207"/>
        <v>0</v>
      </c>
      <c r="H330" s="89">
        <f t="shared" si="208"/>
        <v>0</v>
      </c>
      <c r="I330" s="1341"/>
      <c r="J330" s="90"/>
      <c r="K330" s="134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1"/>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2"/>
      <c r="C331" s="1343"/>
      <c r="D331" s="79"/>
      <c r="E331" s="86">
        <f t="shared" si="232"/>
        <v>0</v>
      </c>
      <c r="F331" s="87"/>
      <c r="G331" s="88">
        <f t="shared" si="207"/>
        <v>0</v>
      </c>
      <c r="H331" s="89">
        <f t="shared" si="208"/>
        <v>0</v>
      </c>
      <c r="I331" s="1341"/>
      <c r="J331" s="90"/>
      <c r="K331" s="1341"/>
      <c r="L331" s="90"/>
      <c r="M331" s="1341"/>
      <c r="N331" s="90"/>
      <c r="O331" s="90"/>
      <c r="P331" s="90"/>
      <c r="Q331" s="90"/>
      <c r="R331" s="90"/>
      <c r="S331" s="90"/>
      <c r="T331" s="90"/>
      <c r="U331" s="90"/>
      <c r="V331" s="90"/>
      <c r="W331" s="90"/>
      <c r="X331" s="90"/>
      <c r="Y331" s="90"/>
      <c r="Z331" s="90"/>
      <c r="AA331" s="90"/>
      <c r="AB331" s="90"/>
      <c r="AC331" s="86">
        <f t="shared" si="209"/>
        <v>0</v>
      </c>
      <c r="AD331" s="91"/>
      <c r="AE331" s="91"/>
      <c r="AF331" s="1341"/>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0"/>
      <c r="C389" s="1341"/>
      <c r="D389" s="79"/>
      <c r="E389" s="86">
        <f t="shared" ref="E389:E480" si="265">IF($C$3="是",ROUND($A$3*G389/$B$3,2),ROUND($A$3*(G389-AT389)/$B$3,2))</f>
        <v>0</v>
      </c>
      <c r="F389" s="87"/>
      <c r="G389" s="88">
        <f t="shared" ref="G389:G477" si="266">H389+AC389+AT389</f>
        <v>0</v>
      </c>
      <c r="H389" s="89">
        <f t="shared" ref="H389:H477" si="267">SUMIF(I$12:AB$12,"总值",I389:AB389)</f>
        <v>0</v>
      </c>
      <c r="I389" s="1343"/>
      <c r="J389" s="90"/>
      <c r="K389" s="134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4"/>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0"/>
      <c r="C390" s="1341"/>
      <c r="D390" s="79"/>
      <c r="E390" s="86">
        <f t="shared" si="265"/>
        <v>0</v>
      </c>
      <c r="F390" s="87"/>
      <c r="G390" s="88">
        <f t="shared" si="266"/>
        <v>0</v>
      </c>
      <c r="H390" s="89">
        <f t="shared" si="267"/>
        <v>0</v>
      </c>
      <c r="I390" s="1343"/>
      <c r="J390" s="90"/>
      <c r="K390" s="1343"/>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4"/>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0"/>
      <c r="C391" s="1341"/>
      <c r="D391" s="79"/>
      <c r="E391" s="86">
        <f t="shared" si="265"/>
        <v>0</v>
      </c>
      <c r="F391" s="87"/>
      <c r="G391" s="88">
        <f t="shared" si="266"/>
        <v>0</v>
      </c>
      <c r="H391" s="89">
        <f t="shared" si="267"/>
        <v>0</v>
      </c>
      <c r="I391" s="1343"/>
      <c r="J391" s="90"/>
      <c r="K391" s="1343"/>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4"/>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0"/>
      <c r="C392" s="1341"/>
      <c r="D392" s="79"/>
      <c r="E392" s="86">
        <f t="shared" si="265"/>
        <v>0</v>
      </c>
      <c r="F392" s="87"/>
      <c r="G392" s="88">
        <f t="shared" si="266"/>
        <v>0</v>
      </c>
      <c r="H392" s="89">
        <f t="shared" si="267"/>
        <v>0</v>
      </c>
      <c r="I392" s="1343"/>
      <c r="J392" s="90"/>
      <c r="K392" s="1343"/>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4"/>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0"/>
      <c r="C393" s="1341"/>
      <c r="D393" s="79"/>
      <c r="E393" s="86">
        <f t="shared" si="265"/>
        <v>0</v>
      </c>
      <c r="F393" s="87"/>
      <c r="G393" s="88">
        <f t="shared" si="266"/>
        <v>0</v>
      </c>
      <c r="H393" s="89">
        <f t="shared" si="267"/>
        <v>0</v>
      </c>
      <c r="I393" s="1343"/>
      <c r="J393" s="90"/>
      <c r="K393" s="134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4"/>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0"/>
      <c r="C394" s="1341"/>
      <c r="D394" s="79"/>
      <c r="E394" s="86">
        <f t="shared" si="265"/>
        <v>0</v>
      </c>
      <c r="F394" s="87"/>
      <c r="G394" s="88">
        <f t="shared" si="266"/>
        <v>0</v>
      </c>
      <c r="H394" s="89">
        <f t="shared" si="267"/>
        <v>0</v>
      </c>
      <c r="I394" s="1343"/>
      <c r="J394" s="90"/>
      <c r="K394" s="134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4"/>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0"/>
      <c r="C395" s="1341"/>
      <c r="D395" s="79"/>
      <c r="E395" s="86">
        <f t="shared" si="265"/>
        <v>0</v>
      </c>
      <c r="F395" s="87"/>
      <c r="G395" s="88">
        <f t="shared" si="266"/>
        <v>0</v>
      </c>
      <c r="H395" s="89">
        <f t="shared" si="267"/>
        <v>0</v>
      </c>
      <c r="I395" s="1343"/>
      <c r="J395" s="90"/>
      <c r="K395" s="134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4"/>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0"/>
      <c r="C396" s="1341"/>
      <c r="D396" s="79"/>
      <c r="E396" s="86">
        <f t="shared" si="265"/>
        <v>0</v>
      </c>
      <c r="F396" s="87"/>
      <c r="G396" s="88">
        <f t="shared" si="266"/>
        <v>0</v>
      </c>
      <c r="H396" s="89">
        <f t="shared" si="267"/>
        <v>0</v>
      </c>
      <c r="I396" s="1343"/>
      <c r="J396" s="90"/>
      <c r="K396" s="134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3"/>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2"/>
      <c r="C397" s="1343"/>
      <c r="D397" s="79"/>
      <c r="E397" s="86">
        <f t="shared" si="265"/>
        <v>0</v>
      </c>
      <c r="F397" s="87"/>
      <c r="G397" s="88">
        <f t="shared" si="266"/>
        <v>0</v>
      </c>
      <c r="H397" s="89">
        <f t="shared" si="267"/>
        <v>0</v>
      </c>
      <c r="I397" s="1343"/>
      <c r="J397" s="90"/>
      <c r="K397" s="134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3"/>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0"/>
      <c r="C398" s="1341"/>
      <c r="D398" s="79"/>
      <c r="E398" s="86">
        <f t="shared" si="265"/>
        <v>0</v>
      </c>
      <c r="F398" s="87"/>
      <c r="G398" s="88">
        <f t="shared" si="266"/>
        <v>0</v>
      </c>
      <c r="H398" s="89">
        <f t="shared" si="267"/>
        <v>0</v>
      </c>
      <c r="I398" s="1343"/>
      <c r="J398" s="90"/>
      <c r="K398" s="134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3"/>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0"/>
      <c r="C399" s="1341"/>
      <c r="D399" s="79"/>
      <c r="E399" s="86">
        <f t="shared" si="265"/>
        <v>0</v>
      </c>
      <c r="F399" s="87"/>
      <c r="G399" s="88">
        <f t="shared" si="266"/>
        <v>0</v>
      </c>
      <c r="H399" s="89">
        <f t="shared" si="267"/>
        <v>0</v>
      </c>
      <c r="I399" s="1343"/>
      <c r="J399" s="90"/>
      <c r="K399" s="134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3"/>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0"/>
      <c r="C400" s="1341"/>
      <c r="D400" s="79"/>
      <c r="E400" s="86">
        <f t="shared" si="265"/>
        <v>0</v>
      </c>
      <c r="F400" s="87"/>
      <c r="G400" s="88">
        <f t="shared" si="266"/>
        <v>0</v>
      </c>
      <c r="H400" s="89">
        <f t="shared" si="267"/>
        <v>0</v>
      </c>
      <c r="I400" s="1343"/>
      <c r="J400" s="90"/>
      <c r="K400" s="134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3"/>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0"/>
      <c r="C401" s="1341"/>
      <c r="D401" s="79"/>
      <c r="E401" s="86">
        <f t="shared" si="265"/>
        <v>0</v>
      </c>
      <c r="F401" s="87"/>
      <c r="G401" s="88">
        <f t="shared" si="266"/>
        <v>0</v>
      </c>
      <c r="H401" s="89">
        <f t="shared" si="267"/>
        <v>0</v>
      </c>
      <c r="I401" s="1343"/>
      <c r="J401" s="90"/>
      <c r="K401" s="134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3"/>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0"/>
      <c r="C402" s="1341"/>
      <c r="D402" s="79"/>
      <c r="E402" s="86">
        <f t="shared" si="265"/>
        <v>0</v>
      </c>
      <c r="F402" s="87"/>
      <c r="G402" s="88">
        <f t="shared" si="266"/>
        <v>0</v>
      </c>
      <c r="H402" s="89">
        <f t="shared" si="267"/>
        <v>0</v>
      </c>
      <c r="I402" s="1343"/>
      <c r="J402" s="90"/>
      <c r="K402" s="134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3"/>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0"/>
      <c r="C403" s="1341"/>
      <c r="D403" s="79"/>
      <c r="E403" s="86">
        <f t="shared" si="265"/>
        <v>0</v>
      </c>
      <c r="F403" s="87"/>
      <c r="G403" s="88">
        <f t="shared" si="266"/>
        <v>0</v>
      </c>
      <c r="H403" s="89">
        <f t="shared" si="267"/>
        <v>0</v>
      </c>
      <c r="I403" s="1343"/>
      <c r="J403" s="90"/>
      <c r="K403" s="134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3"/>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0"/>
      <c r="C404" s="1341"/>
      <c r="D404" s="79"/>
      <c r="E404" s="86">
        <f t="shared" si="265"/>
        <v>0</v>
      </c>
      <c r="F404" s="87"/>
      <c r="G404" s="88">
        <f t="shared" si="266"/>
        <v>0</v>
      </c>
      <c r="H404" s="89">
        <f t="shared" si="267"/>
        <v>0</v>
      </c>
      <c r="I404" s="1343"/>
      <c r="J404" s="90"/>
      <c r="K404" s="134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3"/>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0"/>
      <c r="C405" s="1341"/>
      <c r="D405" s="79"/>
      <c r="E405" s="86">
        <f t="shared" si="265"/>
        <v>0</v>
      </c>
      <c r="F405" s="87"/>
      <c r="G405" s="88">
        <f t="shared" si="266"/>
        <v>0</v>
      </c>
      <c r="H405" s="89">
        <f t="shared" si="267"/>
        <v>0</v>
      </c>
      <c r="I405" s="1343"/>
      <c r="J405" s="90"/>
      <c r="K405" s="134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3"/>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0"/>
      <c r="C406" s="1341"/>
      <c r="D406" s="79"/>
      <c r="E406" s="86">
        <f t="shared" si="265"/>
        <v>0</v>
      </c>
      <c r="F406" s="87"/>
      <c r="G406" s="88">
        <f t="shared" si="266"/>
        <v>0</v>
      </c>
      <c r="H406" s="89">
        <f t="shared" si="267"/>
        <v>0</v>
      </c>
      <c r="I406" s="1343"/>
      <c r="J406" s="90"/>
      <c r="K406" s="134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3"/>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0"/>
      <c r="C407" s="1341"/>
      <c r="D407" s="79"/>
      <c r="E407" s="86">
        <f t="shared" si="265"/>
        <v>0</v>
      </c>
      <c r="F407" s="87"/>
      <c r="G407" s="88">
        <f t="shared" si="266"/>
        <v>0</v>
      </c>
      <c r="H407" s="89">
        <f t="shared" si="267"/>
        <v>0</v>
      </c>
      <c r="I407" s="1343"/>
      <c r="J407" s="90"/>
      <c r="K407" s="134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3"/>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0"/>
      <c r="C408" s="1341"/>
      <c r="D408" s="79"/>
      <c r="E408" s="86">
        <f t="shared" si="265"/>
        <v>0</v>
      </c>
      <c r="F408" s="87"/>
      <c r="G408" s="88">
        <f t="shared" si="266"/>
        <v>0</v>
      </c>
      <c r="H408" s="89">
        <f t="shared" si="267"/>
        <v>0</v>
      </c>
      <c r="I408" s="1343"/>
      <c r="J408" s="90"/>
      <c r="K408" s="134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3"/>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0"/>
      <c r="C409" s="1341"/>
      <c r="D409" s="79"/>
      <c r="E409" s="86">
        <f t="shared" si="265"/>
        <v>0</v>
      </c>
      <c r="F409" s="87"/>
      <c r="G409" s="88">
        <f t="shared" si="266"/>
        <v>0</v>
      </c>
      <c r="H409" s="89">
        <f t="shared" si="267"/>
        <v>0</v>
      </c>
      <c r="I409" s="1343"/>
      <c r="J409" s="90"/>
      <c r="K409" s="134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3"/>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0"/>
      <c r="C410" s="1341"/>
      <c r="D410" s="79"/>
      <c r="E410" s="86">
        <f t="shared" si="265"/>
        <v>0</v>
      </c>
      <c r="F410" s="87"/>
      <c r="G410" s="88">
        <f t="shared" si="266"/>
        <v>0</v>
      </c>
      <c r="H410" s="89">
        <f t="shared" si="267"/>
        <v>0</v>
      </c>
      <c r="I410" s="1343"/>
      <c r="J410" s="90"/>
      <c r="K410" s="134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3"/>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0"/>
      <c r="C411" s="1341"/>
      <c r="D411" s="79"/>
      <c r="E411" s="86">
        <f t="shared" si="265"/>
        <v>0</v>
      </c>
      <c r="F411" s="87"/>
      <c r="G411" s="88">
        <f t="shared" si="266"/>
        <v>0</v>
      </c>
      <c r="H411" s="89">
        <f t="shared" si="267"/>
        <v>0</v>
      </c>
      <c r="I411" s="1343"/>
      <c r="J411" s="90"/>
      <c r="K411" s="134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3"/>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0"/>
      <c r="C412" s="1341"/>
      <c r="D412" s="79"/>
      <c r="E412" s="86">
        <f t="shared" si="265"/>
        <v>0</v>
      </c>
      <c r="F412" s="87"/>
      <c r="G412" s="88">
        <f t="shared" si="266"/>
        <v>0</v>
      </c>
      <c r="H412" s="89">
        <f t="shared" si="267"/>
        <v>0</v>
      </c>
      <c r="I412" s="1343"/>
      <c r="J412" s="90"/>
      <c r="K412" s="134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3"/>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0"/>
      <c r="C413" s="1341"/>
      <c r="D413" s="79"/>
      <c r="E413" s="86">
        <f t="shared" si="265"/>
        <v>0</v>
      </c>
      <c r="F413" s="87"/>
      <c r="G413" s="88">
        <f t="shared" si="266"/>
        <v>0</v>
      </c>
      <c r="H413" s="89">
        <f t="shared" si="267"/>
        <v>0</v>
      </c>
      <c r="I413" s="1343"/>
      <c r="J413" s="90"/>
      <c r="K413" s="134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3"/>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0"/>
      <c r="C414" s="1341"/>
      <c r="D414" s="79"/>
      <c r="E414" s="86">
        <f t="shared" si="265"/>
        <v>0</v>
      </c>
      <c r="F414" s="87"/>
      <c r="G414" s="88">
        <f t="shared" si="266"/>
        <v>0</v>
      </c>
      <c r="H414" s="89">
        <f t="shared" si="267"/>
        <v>0</v>
      </c>
      <c r="I414" s="1343"/>
      <c r="J414" s="90"/>
      <c r="K414" s="134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3"/>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0"/>
      <c r="C415" s="1341"/>
      <c r="D415" s="79"/>
      <c r="E415" s="86">
        <f t="shared" si="265"/>
        <v>0</v>
      </c>
      <c r="F415" s="87"/>
      <c r="G415" s="88">
        <f t="shared" si="266"/>
        <v>0</v>
      </c>
      <c r="H415" s="89">
        <f t="shared" si="267"/>
        <v>0</v>
      </c>
      <c r="I415" s="1343"/>
      <c r="J415" s="90"/>
      <c r="K415" s="134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1"/>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0"/>
      <c r="C416" s="1341"/>
      <c r="D416" s="79"/>
      <c r="E416" s="86">
        <f t="shared" si="265"/>
        <v>0</v>
      </c>
      <c r="F416" s="87"/>
      <c r="G416" s="88">
        <f t="shared" si="266"/>
        <v>0</v>
      </c>
      <c r="H416" s="89">
        <f t="shared" si="267"/>
        <v>0</v>
      </c>
      <c r="I416" s="1341"/>
      <c r="J416" s="90"/>
      <c r="K416" s="134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1"/>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0"/>
      <c r="C417" s="1341"/>
      <c r="D417" s="79"/>
      <c r="E417" s="86">
        <f t="shared" si="265"/>
        <v>0</v>
      </c>
      <c r="F417" s="87"/>
      <c r="G417" s="88">
        <f t="shared" si="266"/>
        <v>0</v>
      </c>
      <c r="H417" s="89">
        <f t="shared" si="267"/>
        <v>0</v>
      </c>
      <c r="I417" s="1341"/>
      <c r="J417" s="90"/>
      <c r="K417" s="134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1"/>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0"/>
      <c r="C418" s="1341"/>
      <c r="D418" s="79"/>
      <c r="E418" s="86">
        <f t="shared" si="265"/>
        <v>0</v>
      </c>
      <c r="F418" s="87"/>
      <c r="G418" s="88">
        <f t="shared" si="266"/>
        <v>0</v>
      </c>
      <c r="H418" s="89">
        <f t="shared" si="267"/>
        <v>0</v>
      </c>
      <c r="I418" s="1341"/>
      <c r="J418" s="90"/>
      <c r="K418" s="134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1"/>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0"/>
      <c r="C419" s="1341"/>
      <c r="D419" s="79"/>
      <c r="E419" s="86">
        <f t="shared" si="265"/>
        <v>0</v>
      </c>
      <c r="F419" s="87"/>
      <c r="G419" s="88">
        <f t="shared" si="266"/>
        <v>0</v>
      </c>
      <c r="H419" s="89">
        <f t="shared" si="267"/>
        <v>0</v>
      </c>
      <c r="I419" s="1341"/>
      <c r="J419" s="90"/>
      <c r="K419" s="134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1"/>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0"/>
      <c r="C420" s="1341"/>
      <c r="D420" s="79"/>
      <c r="E420" s="86">
        <f t="shared" si="265"/>
        <v>0</v>
      </c>
      <c r="F420" s="87"/>
      <c r="G420" s="88">
        <f t="shared" si="266"/>
        <v>0</v>
      </c>
      <c r="H420" s="89">
        <f t="shared" si="267"/>
        <v>0</v>
      </c>
      <c r="I420" s="1341"/>
      <c r="J420" s="90"/>
      <c r="K420" s="134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1"/>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0"/>
      <c r="C421" s="1341"/>
      <c r="D421" s="79"/>
      <c r="E421" s="86">
        <f t="shared" si="265"/>
        <v>0</v>
      </c>
      <c r="F421" s="87"/>
      <c r="G421" s="88">
        <f t="shared" si="266"/>
        <v>0</v>
      </c>
      <c r="H421" s="89">
        <f t="shared" si="267"/>
        <v>0</v>
      </c>
      <c r="I421" s="1341"/>
      <c r="J421" s="90"/>
      <c r="K421" s="134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1"/>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0"/>
      <c r="C422" s="1341"/>
      <c r="D422" s="79"/>
      <c r="E422" s="86">
        <f t="shared" si="265"/>
        <v>0</v>
      </c>
      <c r="F422" s="87"/>
      <c r="G422" s="88">
        <f t="shared" si="266"/>
        <v>0</v>
      </c>
      <c r="H422" s="89">
        <f t="shared" si="267"/>
        <v>0</v>
      </c>
      <c r="I422" s="1341"/>
      <c r="J422" s="90"/>
      <c r="K422" s="134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1"/>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2"/>
      <c r="C423" s="1343"/>
      <c r="D423" s="79"/>
      <c r="E423" s="86">
        <f t="shared" si="265"/>
        <v>0</v>
      </c>
      <c r="F423" s="87"/>
      <c r="G423" s="88">
        <f t="shared" si="266"/>
        <v>0</v>
      </c>
      <c r="H423" s="89">
        <f t="shared" si="267"/>
        <v>0</v>
      </c>
      <c r="I423" s="1341"/>
      <c r="J423" s="90"/>
      <c r="K423" s="1341"/>
      <c r="L423" s="90"/>
      <c r="M423" s="1341"/>
      <c r="N423" s="90"/>
      <c r="O423" s="90"/>
      <c r="P423" s="90"/>
      <c r="Q423" s="90"/>
      <c r="R423" s="90"/>
      <c r="S423" s="90"/>
      <c r="T423" s="90"/>
      <c r="U423" s="90"/>
      <c r="V423" s="90"/>
      <c r="W423" s="90"/>
      <c r="X423" s="90"/>
      <c r="Y423" s="90"/>
      <c r="Z423" s="90"/>
      <c r="AA423" s="90"/>
      <c r="AB423" s="90"/>
      <c r="AC423" s="86">
        <f t="shared" si="268"/>
        <v>0</v>
      </c>
      <c r="AD423" s="91"/>
      <c r="AE423" s="91"/>
      <c r="AF423" s="1341"/>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0"/>
      <c r="C481" s="1341"/>
      <c r="D481" s="79"/>
      <c r="E481" s="86">
        <f t="shared" ref="E481:E504" si="319">IF($C$3="是",ROUND($A$3*G481/$B$3,2),ROUND($A$3*(G481-AT481)/$B$3,2))</f>
        <v>0</v>
      </c>
      <c r="F481" s="87"/>
      <c r="G481" s="88">
        <f t="shared" si="294"/>
        <v>0</v>
      </c>
      <c r="H481" s="89">
        <f t="shared" si="295"/>
        <v>0</v>
      </c>
      <c r="I481" s="1343"/>
      <c r="J481" s="90"/>
      <c r="K481" s="134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4"/>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0"/>
      <c r="C482" s="1341"/>
      <c r="D482" s="79"/>
      <c r="E482" s="86">
        <f t="shared" si="319"/>
        <v>0</v>
      </c>
      <c r="F482" s="87"/>
      <c r="G482" s="88">
        <f t="shared" si="294"/>
        <v>0</v>
      </c>
      <c r="H482" s="89">
        <f t="shared" si="295"/>
        <v>0</v>
      </c>
      <c r="I482" s="1343"/>
      <c r="J482" s="90"/>
      <c r="K482" s="1343"/>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4"/>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0"/>
      <c r="C483" s="1341"/>
      <c r="D483" s="79"/>
      <c r="E483" s="86">
        <f t="shared" si="319"/>
        <v>0</v>
      </c>
      <c r="F483" s="87"/>
      <c r="G483" s="88">
        <f t="shared" si="294"/>
        <v>0</v>
      </c>
      <c r="H483" s="89">
        <f t="shared" si="295"/>
        <v>0</v>
      </c>
      <c r="I483" s="1343"/>
      <c r="J483" s="90"/>
      <c r="K483" s="1343"/>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4"/>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0"/>
      <c r="C484" s="1341"/>
      <c r="D484" s="79"/>
      <c r="E484" s="86">
        <f t="shared" si="319"/>
        <v>0</v>
      </c>
      <c r="F484" s="87"/>
      <c r="G484" s="88">
        <f t="shared" si="294"/>
        <v>0</v>
      </c>
      <c r="H484" s="89">
        <f t="shared" si="295"/>
        <v>0</v>
      </c>
      <c r="I484" s="1343"/>
      <c r="J484" s="90"/>
      <c r="K484" s="1343"/>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4"/>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0"/>
      <c r="C485" s="1341"/>
      <c r="D485" s="79"/>
      <c r="E485" s="86">
        <f t="shared" si="319"/>
        <v>0</v>
      </c>
      <c r="F485" s="87"/>
      <c r="G485" s="88">
        <f t="shared" si="294"/>
        <v>0</v>
      </c>
      <c r="H485" s="89">
        <f t="shared" si="295"/>
        <v>0</v>
      </c>
      <c r="I485" s="1343"/>
      <c r="J485" s="90"/>
      <c r="K485" s="134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4"/>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0"/>
      <c r="C486" s="1341"/>
      <c r="D486" s="79"/>
      <c r="E486" s="86">
        <f t="shared" si="319"/>
        <v>0</v>
      </c>
      <c r="F486" s="87"/>
      <c r="G486" s="88">
        <f t="shared" si="294"/>
        <v>0</v>
      </c>
      <c r="H486" s="89">
        <f t="shared" si="295"/>
        <v>0</v>
      </c>
      <c r="I486" s="1343"/>
      <c r="J486" s="90"/>
      <c r="K486" s="134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4"/>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0"/>
      <c r="C487" s="1341"/>
      <c r="D487" s="79"/>
      <c r="E487" s="86">
        <f t="shared" si="319"/>
        <v>0</v>
      </c>
      <c r="F487" s="87"/>
      <c r="G487" s="88">
        <f t="shared" si="294"/>
        <v>0</v>
      </c>
      <c r="H487" s="89">
        <f t="shared" si="295"/>
        <v>0</v>
      </c>
      <c r="I487" s="1343"/>
      <c r="J487" s="90"/>
      <c r="K487" s="134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4"/>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0"/>
      <c r="C488" s="1341"/>
      <c r="D488" s="79"/>
      <c r="E488" s="86">
        <f t="shared" si="319"/>
        <v>0</v>
      </c>
      <c r="F488" s="87"/>
      <c r="G488" s="88">
        <f t="shared" si="294"/>
        <v>0</v>
      </c>
      <c r="H488" s="89">
        <f t="shared" si="295"/>
        <v>0</v>
      </c>
      <c r="I488" s="1343"/>
      <c r="J488" s="90"/>
      <c r="K488" s="134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3"/>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2"/>
      <c r="C489" s="1343"/>
      <c r="D489" s="79"/>
      <c r="E489" s="86">
        <f t="shared" si="319"/>
        <v>0</v>
      </c>
      <c r="F489" s="87"/>
      <c r="G489" s="88">
        <f t="shared" si="294"/>
        <v>0</v>
      </c>
      <c r="H489" s="89">
        <f t="shared" si="295"/>
        <v>0</v>
      </c>
      <c r="I489" s="1343"/>
      <c r="J489" s="90"/>
      <c r="K489" s="134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3"/>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0"/>
      <c r="C490" s="1341"/>
      <c r="D490" s="79"/>
      <c r="E490" s="86">
        <f t="shared" si="319"/>
        <v>0</v>
      </c>
      <c r="F490" s="87"/>
      <c r="G490" s="88">
        <f t="shared" si="294"/>
        <v>0</v>
      </c>
      <c r="H490" s="89">
        <f t="shared" si="295"/>
        <v>0</v>
      </c>
      <c r="I490" s="1343"/>
      <c r="J490" s="90"/>
      <c r="K490" s="134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3"/>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0"/>
      <c r="C491" s="1341"/>
      <c r="D491" s="79"/>
      <c r="E491" s="86">
        <f t="shared" si="319"/>
        <v>0</v>
      </c>
      <c r="F491" s="87"/>
      <c r="G491" s="88">
        <f t="shared" si="294"/>
        <v>0</v>
      </c>
      <c r="H491" s="89">
        <f t="shared" si="295"/>
        <v>0</v>
      </c>
      <c r="I491" s="1343"/>
      <c r="J491" s="90"/>
      <c r="K491" s="134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3"/>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0"/>
      <c r="C492" s="1341"/>
      <c r="D492" s="79"/>
      <c r="E492" s="86">
        <f t="shared" si="319"/>
        <v>0</v>
      </c>
      <c r="F492" s="87"/>
      <c r="G492" s="88">
        <f t="shared" si="294"/>
        <v>0</v>
      </c>
      <c r="H492" s="89">
        <f t="shared" si="295"/>
        <v>0</v>
      </c>
      <c r="I492" s="1343"/>
      <c r="J492" s="90"/>
      <c r="K492" s="134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3"/>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0"/>
      <c r="C493" s="1341"/>
      <c r="D493" s="79"/>
      <c r="E493" s="86">
        <f t="shared" si="319"/>
        <v>0</v>
      </c>
      <c r="F493" s="87"/>
      <c r="G493" s="88">
        <f t="shared" si="294"/>
        <v>0</v>
      </c>
      <c r="H493" s="89">
        <f t="shared" si="295"/>
        <v>0</v>
      </c>
      <c r="I493" s="1343"/>
      <c r="J493" s="90"/>
      <c r="K493" s="134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3"/>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0"/>
      <c r="C494" s="1341"/>
      <c r="D494" s="79"/>
      <c r="E494" s="86">
        <f t="shared" si="319"/>
        <v>0</v>
      </c>
      <c r="F494" s="87"/>
      <c r="G494" s="88">
        <f t="shared" si="294"/>
        <v>0</v>
      </c>
      <c r="H494" s="89">
        <f t="shared" si="295"/>
        <v>0</v>
      </c>
      <c r="I494" s="1343"/>
      <c r="J494" s="90"/>
      <c r="K494" s="134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3"/>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0"/>
      <c r="C495" s="1341"/>
      <c r="D495" s="79"/>
      <c r="E495" s="86">
        <f t="shared" si="319"/>
        <v>0</v>
      </c>
      <c r="F495" s="87"/>
      <c r="G495" s="88">
        <f t="shared" si="294"/>
        <v>0</v>
      </c>
      <c r="H495" s="89">
        <f t="shared" si="295"/>
        <v>0</v>
      </c>
      <c r="I495" s="1343"/>
      <c r="J495" s="90"/>
      <c r="K495" s="134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3"/>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0"/>
      <c r="C496" s="1341"/>
      <c r="D496" s="79"/>
      <c r="E496" s="86">
        <f t="shared" si="319"/>
        <v>0</v>
      </c>
      <c r="F496" s="87"/>
      <c r="G496" s="88">
        <f t="shared" si="294"/>
        <v>0</v>
      </c>
      <c r="H496" s="89">
        <f t="shared" si="295"/>
        <v>0</v>
      </c>
      <c r="I496" s="1343"/>
      <c r="J496" s="90"/>
      <c r="K496" s="134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3"/>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0"/>
      <c r="C497" s="1341"/>
      <c r="D497" s="79"/>
      <c r="E497" s="86">
        <f t="shared" si="319"/>
        <v>0</v>
      </c>
      <c r="F497" s="87"/>
      <c r="G497" s="88">
        <f t="shared" si="294"/>
        <v>0</v>
      </c>
      <c r="H497" s="89">
        <f t="shared" si="295"/>
        <v>0</v>
      </c>
      <c r="I497" s="1343"/>
      <c r="J497" s="90"/>
      <c r="K497" s="134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3"/>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0"/>
      <c r="C498" s="1341"/>
      <c r="D498" s="79"/>
      <c r="E498" s="86">
        <f t="shared" si="319"/>
        <v>0</v>
      </c>
      <c r="F498" s="87"/>
      <c r="G498" s="88">
        <f t="shared" si="294"/>
        <v>0</v>
      </c>
      <c r="H498" s="89">
        <f t="shared" si="295"/>
        <v>0</v>
      </c>
      <c r="I498" s="1343"/>
      <c r="J498" s="90"/>
      <c r="K498" s="134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3"/>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0"/>
      <c r="C499" s="1341"/>
      <c r="D499" s="79"/>
      <c r="E499" s="86">
        <f t="shared" si="319"/>
        <v>0</v>
      </c>
      <c r="F499" s="87"/>
      <c r="G499" s="88">
        <f t="shared" si="294"/>
        <v>0</v>
      </c>
      <c r="H499" s="89">
        <f t="shared" si="295"/>
        <v>0</v>
      </c>
      <c r="I499" s="1343"/>
      <c r="J499" s="90"/>
      <c r="K499" s="134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3"/>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0"/>
      <c r="C500" s="1341"/>
      <c r="D500" s="79"/>
      <c r="E500" s="86">
        <f t="shared" si="319"/>
        <v>0</v>
      </c>
      <c r="F500" s="87"/>
      <c r="G500" s="88">
        <f t="shared" si="294"/>
        <v>0</v>
      </c>
      <c r="H500" s="89">
        <f t="shared" si="295"/>
        <v>0</v>
      </c>
      <c r="I500" s="1343"/>
      <c r="J500" s="90"/>
      <c r="K500" s="134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3"/>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0"/>
      <c r="C501" s="1341"/>
      <c r="D501" s="79"/>
      <c r="E501" s="86">
        <f t="shared" si="319"/>
        <v>0</v>
      </c>
      <c r="F501" s="87"/>
      <c r="G501" s="88">
        <f t="shared" si="294"/>
        <v>0</v>
      </c>
      <c r="H501" s="89">
        <f t="shared" si="295"/>
        <v>0</v>
      </c>
      <c r="I501" s="1343"/>
      <c r="J501" s="90"/>
      <c r="K501" s="134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3"/>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0"/>
      <c r="C502" s="1341"/>
      <c r="D502" s="79"/>
      <c r="E502" s="86">
        <f t="shared" si="319"/>
        <v>0</v>
      </c>
      <c r="F502" s="87"/>
      <c r="G502" s="88">
        <f t="shared" si="294"/>
        <v>0</v>
      </c>
      <c r="H502" s="89">
        <f t="shared" si="295"/>
        <v>0</v>
      </c>
      <c r="I502" s="1343"/>
      <c r="J502" s="90"/>
      <c r="K502" s="134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3"/>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0"/>
      <c r="C503" s="1341"/>
      <c r="D503" s="79"/>
      <c r="E503" s="86">
        <f t="shared" si="319"/>
        <v>0</v>
      </c>
      <c r="F503" s="87"/>
      <c r="G503" s="88">
        <f t="shared" si="294"/>
        <v>0</v>
      </c>
      <c r="H503" s="89">
        <f t="shared" si="295"/>
        <v>0</v>
      </c>
      <c r="I503" s="1343"/>
      <c r="J503" s="90"/>
      <c r="K503" s="134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3"/>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0"/>
      <c r="C504" s="1341"/>
      <c r="D504" s="79"/>
      <c r="E504" s="86">
        <f t="shared" si="319"/>
        <v>0</v>
      </c>
      <c r="F504" s="87"/>
      <c r="G504" s="88">
        <f t="shared" si="294"/>
        <v>0</v>
      </c>
      <c r="H504" s="89">
        <f t="shared" si="295"/>
        <v>0</v>
      </c>
      <c r="I504" s="1343"/>
      <c r="J504" s="90"/>
      <c r="K504" s="134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3"/>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0"/>
      <c r="C505" s="1341"/>
      <c r="D505" s="79"/>
      <c r="E505" s="86">
        <f t="shared" ref="E505:E536" si="323">IF($C$3="是",ROUND($A$3*G505/$B$3,2),ROUND($A$3*(G505-AT505)/$B$3,2))</f>
        <v>0</v>
      </c>
      <c r="F505" s="87"/>
      <c r="G505" s="88">
        <f t="shared" si="294"/>
        <v>0</v>
      </c>
      <c r="H505" s="89">
        <f t="shared" si="295"/>
        <v>0</v>
      </c>
      <c r="I505" s="1343"/>
      <c r="J505" s="90"/>
      <c r="K505" s="134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3"/>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0"/>
      <c r="C506" s="1341"/>
      <c r="D506" s="79"/>
      <c r="E506" s="86">
        <f t="shared" si="323"/>
        <v>0</v>
      </c>
      <c r="F506" s="87"/>
      <c r="G506" s="88">
        <f t="shared" si="294"/>
        <v>0</v>
      </c>
      <c r="H506" s="89">
        <f t="shared" si="295"/>
        <v>0</v>
      </c>
      <c r="I506" s="1343"/>
      <c r="J506" s="90"/>
      <c r="K506" s="134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3"/>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0"/>
      <c r="C507" s="1341"/>
      <c r="D507" s="79"/>
      <c r="E507" s="86">
        <f t="shared" si="323"/>
        <v>0</v>
      </c>
      <c r="F507" s="87"/>
      <c r="G507" s="88">
        <f t="shared" si="294"/>
        <v>0</v>
      </c>
      <c r="H507" s="89">
        <f t="shared" si="295"/>
        <v>0</v>
      </c>
      <c r="I507" s="1343"/>
      <c r="J507" s="90"/>
      <c r="K507" s="134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1"/>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0"/>
      <c r="C508" s="1341"/>
      <c r="D508" s="79"/>
      <c r="E508" s="86">
        <f t="shared" si="323"/>
        <v>0</v>
      </c>
      <c r="F508" s="87"/>
      <c r="G508" s="88">
        <f t="shared" si="294"/>
        <v>0</v>
      </c>
      <c r="H508" s="89">
        <f t="shared" si="295"/>
        <v>0</v>
      </c>
      <c r="I508" s="1341"/>
      <c r="J508" s="90"/>
      <c r="K508" s="134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1"/>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0"/>
      <c r="C509" s="1341"/>
      <c r="D509" s="79"/>
      <c r="E509" s="86">
        <f t="shared" si="323"/>
        <v>0</v>
      </c>
      <c r="F509" s="87"/>
      <c r="G509" s="88">
        <f t="shared" si="294"/>
        <v>0</v>
      </c>
      <c r="H509" s="89">
        <f t="shared" si="295"/>
        <v>0</v>
      </c>
      <c r="I509" s="1341"/>
      <c r="J509" s="90"/>
      <c r="K509" s="134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1"/>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0"/>
      <c r="C510" s="1341"/>
      <c r="D510" s="79"/>
      <c r="E510" s="86">
        <f t="shared" si="323"/>
        <v>0</v>
      </c>
      <c r="F510" s="87"/>
      <c r="G510" s="88">
        <f t="shared" ref="G510:G537" si="327">H510+AC510+AT510</f>
        <v>0</v>
      </c>
      <c r="H510" s="89">
        <f t="shared" ref="H510:H537" si="328">SUMIF(I$12:AB$12,"总值",I510:AB510)</f>
        <v>0</v>
      </c>
      <c r="I510" s="1341"/>
      <c r="J510" s="90"/>
      <c r="K510" s="134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1"/>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0"/>
      <c r="C511" s="1341"/>
      <c r="D511" s="79"/>
      <c r="E511" s="86">
        <f t="shared" si="323"/>
        <v>0</v>
      </c>
      <c r="F511" s="87"/>
      <c r="G511" s="88">
        <f t="shared" si="327"/>
        <v>0</v>
      </c>
      <c r="H511" s="89">
        <f t="shared" si="328"/>
        <v>0</v>
      </c>
      <c r="I511" s="1341"/>
      <c r="J511" s="90"/>
      <c r="K511" s="134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1"/>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0"/>
      <c r="C512" s="1341"/>
      <c r="D512" s="79"/>
      <c r="E512" s="86">
        <f t="shared" si="323"/>
        <v>0</v>
      </c>
      <c r="F512" s="87"/>
      <c r="G512" s="88">
        <f t="shared" si="327"/>
        <v>0</v>
      </c>
      <c r="H512" s="89">
        <f t="shared" si="328"/>
        <v>0</v>
      </c>
      <c r="I512" s="1341"/>
      <c r="J512" s="90"/>
      <c r="K512" s="134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1"/>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0"/>
      <c r="C513" s="1341"/>
      <c r="D513" s="79"/>
      <c r="E513" s="86">
        <f t="shared" si="323"/>
        <v>0</v>
      </c>
      <c r="F513" s="87"/>
      <c r="G513" s="88">
        <f t="shared" si="327"/>
        <v>0</v>
      </c>
      <c r="H513" s="89">
        <f t="shared" si="328"/>
        <v>0</v>
      </c>
      <c r="I513" s="1341"/>
      <c r="J513" s="90"/>
      <c r="K513" s="134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1"/>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0"/>
      <c r="C514" s="1341"/>
      <c r="D514" s="79"/>
      <c r="E514" s="86">
        <f t="shared" si="323"/>
        <v>0</v>
      </c>
      <c r="F514" s="87"/>
      <c r="G514" s="88">
        <f t="shared" si="327"/>
        <v>0</v>
      </c>
      <c r="H514" s="89">
        <f t="shared" si="328"/>
        <v>0</v>
      </c>
      <c r="I514" s="1341"/>
      <c r="J514" s="90"/>
      <c r="K514" s="134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1"/>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2"/>
      <c r="C515" s="1343"/>
      <c r="D515" s="79"/>
      <c r="E515" s="86">
        <f t="shared" si="323"/>
        <v>0</v>
      </c>
      <c r="F515" s="87"/>
      <c r="G515" s="88">
        <f t="shared" si="327"/>
        <v>0</v>
      </c>
      <c r="H515" s="89">
        <f t="shared" si="328"/>
        <v>0</v>
      </c>
      <c r="I515" s="1341"/>
      <c r="J515" s="90"/>
      <c r="K515" s="1341"/>
      <c r="L515" s="90"/>
      <c r="M515" s="1341"/>
      <c r="N515" s="90"/>
      <c r="O515" s="90"/>
      <c r="P515" s="90"/>
      <c r="Q515" s="90"/>
      <c r="R515" s="90"/>
      <c r="S515" s="90"/>
      <c r="T515" s="90"/>
      <c r="U515" s="90"/>
      <c r="V515" s="90"/>
      <c r="W515" s="90"/>
      <c r="X515" s="90"/>
      <c r="Y515" s="90"/>
      <c r="Z515" s="90"/>
      <c r="AA515" s="90"/>
      <c r="AB515" s="90"/>
      <c r="AC515" s="86">
        <f t="shared" si="329"/>
        <v>0</v>
      </c>
      <c r="AD515" s="91"/>
      <c r="AE515" s="91"/>
      <c r="AF515" s="1341"/>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EE9"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70" t="s">
        <v>0</v>
      </c>
      <c r="B1" s="3470" t="s">
        <v>4</v>
      </c>
      <c r="C1" s="3470" t="s">
        <v>5</v>
      </c>
      <c r="D1" s="3471" t="s">
        <v>40</v>
      </c>
      <c r="E1" s="3471" t="s">
        <v>41</v>
      </c>
      <c r="F1" s="3471"/>
      <c r="G1" s="3471"/>
      <c r="H1" s="3471"/>
      <c r="I1" s="3471"/>
      <c r="J1" s="3471"/>
      <c r="K1" s="3471"/>
      <c r="L1" s="3471"/>
      <c r="M1" s="3471"/>
    </row>
    <row r="2" spans="1:13" ht="27" customHeight="1">
      <c r="A2" s="3470"/>
      <c r="B2" s="3470"/>
      <c r="C2" s="3470"/>
      <c r="D2" s="3471"/>
      <c r="E2" s="3471" t="s">
        <v>24</v>
      </c>
      <c r="F2" s="3471" t="s">
        <v>25</v>
      </c>
      <c r="G2" s="3471"/>
      <c r="H2" s="3471"/>
      <c r="I2" s="3471"/>
      <c r="J2" s="3471" t="s">
        <v>26</v>
      </c>
      <c r="K2" s="3471"/>
      <c r="L2" s="3471"/>
      <c r="M2" s="3471"/>
    </row>
    <row r="3" spans="1:13" ht="28.5">
      <c r="A3" s="3470"/>
      <c r="B3" s="3470"/>
      <c r="C3" s="3470"/>
      <c r="D3" s="3471"/>
      <c r="E3" s="34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71" t="s">
        <v>42</v>
      </c>
      <c r="B9" s="3471"/>
      <c r="C9" s="34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3" t="s">
        <v>200</v>
      </c>
      <c r="B1" s="1895"/>
      <c r="C1" s="1895"/>
      <c r="D1" s="1895"/>
      <c r="E1" s="1895"/>
      <c r="F1" s="1895"/>
      <c r="G1" s="1895"/>
      <c r="H1" s="1895"/>
      <c r="I1" s="1895"/>
      <c r="J1" s="1895"/>
      <c r="K1" s="1895"/>
      <c r="L1" s="1895"/>
      <c r="M1" s="1895"/>
      <c r="N1" s="1895"/>
      <c r="O1" s="1895"/>
      <c r="P1" s="1895"/>
    </row>
    <row r="2" spans="1:16" ht="15">
      <c r="A2" s="3481" t="s">
        <v>201</v>
      </c>
      <c r="B2" s="3481"/>
      <c r="C2" s="3481"/>
      <c r="D2" s="1886" t="s">
        <v>202</v>
      </c>
      <c r="E2" s="105" t="s">
        <v>203</v>
      </c>
      <c r="F2" s="3080"/>
      <c r="G2" s="1179"/>
      <c r="H2" s="1180"/>
      <c r="I2" s="1181" t="s">
        <v>847</v>
      </c>
      <c r="J2" s="3080"/>
      <c r="K2" s="3080"/>
      <c r="L2" s="3080"/>
      <c r="M2" s="3080"/>
      <c r="N2" s="3080"/>
      <c r="O2" s="3080"/>
      <c r="P2" s="3080"/>
    </row>
    <row r="3" spans="1:16" ht="15.75" thickBot="1">
      <c r="A3" s="3482" t="s">
        <v>204</v>
      </c>
      <c r="B3" s="3482"/>
      <c r="C3" s="3482"/>
      <c r="D3" s="3374">
        <f>'数据-基础表'!AY6</f>
        <v>5500.65</v>
      </c>
      <c r="E3" s="106">
        <f>'数据-基础表'!AZ5</f>
        <v>30803.628000000001</v>
      </c>
      <c r="F3" s="3080"/>
      <c r="G3" s="276" t="s">
        <v>848</v>
      </c>
      <c r="H3" s="271" t="s">
        <v>849</v>
      </c>
      <c r="I3" s="1887">
        <f>ROUND('数据-基础表'!B3/'数据-基础表'!A3,2)</f>
        <v>5.6</v>
      </c>
      <c r="J3" s="3080"/>
      <c r="K3" s="3080"/>
      <c r="L3" s="3080"/>
      <c r="M3" s="3080"/>
      <c r="N3" s="3080"/>
      <c r="O3" s="3080"/>
      <c r="P3" s="3080"/>
    </row>
    <row r="4" spans="1:16" ht="15">
      <c r="A4" s="3483"/>
      <c r="B4" s="3484"/>
      <c r="C4" s="3485"/>
      <c r="D4" s="107" t="s">
        <v>202</v>
      </c>
      <c r="E4" s="108" t="s">
        <v>203</v>
      </c>
      <c r="F4" s="3080"/>
      <c r="G4" s="1182"/>
      <c r="H4" s="271" t="s">
        <v>850</v>
      </c>
      <c r="I4" s="1887">
        <f>ROUND(SUMIF('数据-基础表'!I9:AS9,"地上",'数据-基础表'!I5:AS5)/'数据-基础表'!A3,2)</f>
        <v>5.6</v>
      </c>
      <c r="J4" s="3080"/>
      <c r="K4" s="3080"/>
      <c r="L4" s="3080"/>
      <c r="M4" s="3080"/>
      <c r="N4" s="3080"/>
      <c r="O4" s="3080"/>
      <c r="P4" s="3080"/>
    </row>
    <row r="5" spans="1:16">
      <c r="A5" s="109" t="s">
        <v>205</v>
      </c>
      <c r="B5" s="3486" t="s">
        <v>228</v>
      </c>
      <c r="C5" s="3486"/>
      <c r="D5" s="110">
        <f>ROUND($D$3*E5/$E$3,2)</f>
        <v>0</v>
      </c>
      <c r="E5" s="111">
        <f>SUMIF('数据-基础表'!$11:$11,"住宅",'数据-基础表'!$5:$5)</f>
        <v>0</v>
      </c>
      <c r="F5" s="3080"/>
      <c r="G5" s="276" t="s">
        <v>851</v>
      </c>
      <c r="H5" s="271" t="s">
        <v>849</v>
      </c>
      <c r="I5" s="1887">
        <f>ROUND(E31/D31,2)</f>
        <v>5.6</v>
      </c>
      <c r="J5" s="3080"/>
      <c r="K5" s="3080"/>
      <c r="L5" s="3080"/>
      <c r="M5" s="3080"/>
      <c r="N5" s="3080"/>
      <c r="O5" s="3080"/>
      <c r="P5" s="3080"/>
    </row>
    <row r="6" spans="1:16" ht="15" thickBot="1">
      <c r="A6" s="112"/>
      <c r="B6" s="3486" t="s">
        <v>206</v>
      </c>
      <c r="C6" s="3486"/>
      <c r="D6" s="110">
        <f>ROUND($D$3*E6/$E$3,2)</f>
        <v>5500.65</v>
      </c>
      <c r="E6" s="111">
        <f>E3-E5</f>
        <v>30803.628000000001</v>
      </c>
      <c r="F6" s="3080"/>
      <c r="G6" s="1182"/>
      <c r="H6" s="271" t="s">
        <v>850</v>
      </c>
      <c r="I6" s="1887">
        <f>ROUND(F31/D31,2)</f>
        <v>5.6</v>
      </c>
      <c r="J6" s="3080"/>
      <c r="K6" s="3080"/>
      <c r="L6" s="3080"/>
      <c r="M6" s="3080"/>
      <c r="N6" s="3080"/>
      <c r="O6" s="3080"/>
      <c r="P6" s="3080"/>
    </row>
    <row r="7" spans="1:16" ht="15">
      <c r="A7" s="3478"/>
      <c r="B7" s="3479"/>
      <c r="C7" s="3480"/>
      <c r="D7" s="107" t="s">
        <v>202</v>
      </c>
      <c r="E7" s="113" t="s">
        <v>229</v>
      </c>
      <c r="F7" s="3080"/>
      <c r="G7" s="1137" t="s">
        <v>1633</v>
      </c>
      <c r="H7" s="1138"/>
      <c r="I7" s="1757">
        <f>ROUND(F20/D3,2)</f>
        <v>2.8</v>
      </c>
      <c r="J7" s="3080"/>
      <c r="K7" s="3080"/>
      <c r="L7" s="3080"/>
      <c r="M7" s="3080"/>
      <c r="N7" s="3080"/>
      <c r="O7" s="3080"/>
      <c r="P7" s="3080"/>
    </row>
    <row r="8" spans="1:16">
      <c r="A8" s="109" t="s">
        <v>207</v>
      </c>
      <c r="B8" s="114" t="s">
        <v>208</v>
      </c>
      <c r="C8" s="110" t="s">
        <v>209</v>
      </c>
      <c r="D8" s="110">
        <f t="shared" ref="D8:D15" si="0">ROUND($D$3*E8/$E$3,2)</f>
        <v>5500.65</v>
      </c>
      <c r="E8" s="115">
        <f>SUMIF('数据-基础表'!BB10:BK10,"地上",'数据-基础表'!BB5:BK5)</f>
        <v>30803.628000000001</v>
      </c>
      <c r="F8" s="3080"/>
      <c r="G8" s="3081"/>
      <c r="H8" s="3081"/>
      <c r="I8" s="3080"/>
      <c r="J8" s="3080"/>
      <c r="K8" s="3080"/>
      <c r="L8" s="3080"/>
      <c r="M8" s="3080"/>
      <c r="N8" s="3080"/>
      <c r="O8" s="3080"/>
      <c r="P8" s="3080"/>
    </row>
    <row r="9" spans="1:16">
      <c r="A9" s="116"/>
      <c r="B9" s="117"/>
      <c r="C9" s="110" t="s">
        <v>210</v>
      </c>
      <c r="D9" s="110">
        <f t="shared" si="0"/>
        <v>0</v>
      </c>
      <c r="E9" s="118">
        <v>0</v>
      </c>
      <c r="F9" s="3080"/>
      <c r="G9" s="3081"/>
      <c r="H9" s="3081"/>
      <c r="I9" s="3080"/>
      <c r="J9" s="3080"/>
      <c r="K9" s="3080"/>
      <c r="L9" s="3080"/>
      <c r="M9" s="3080"/>
      <c r="N9" s="3080"/>
      <c r="O9" s="3080"/>
      <c r="P9" s="3080"/>
    </row>
    <row r="10" spans="1:16">
      <c r="A10" s="116"/>
      <c r="B10" s="117"/>
      <c r="C10" s="110" t="s">
        <v>211</v>
      </c>
      <c r="D10" s="110">
        <f t="shared" si="0"/>
        <v>0</v>
      </c>
      <c r="E10" s="115">
        <f>SUMPRODUCT(('数据-基础表'!BB10:BK10="地下")*('数据-基础表'!BB11:BK11="商业")*('数据-基础表'!BB5:BK5))</f>
        <v>0</v>
      </c>
      <c r="F10" s="3080"/>
      <c r="G10" s="3081"/>
      <c r="H10" s="3081"/>
      <c r="I10" s="3080"/>
      <c r="J10" s="3080"/>
      <c r="K10" s="3080"/>
      <c r="L10" s="3080"/>
      <c r="M10" s="3080"/>
      <c r="N10" s="3080"/>
      <c r="O10" s="3080"/>
      <c r="P10" s="3080"/>
    </row>
    <row r="11" spans="1:16">
      <c r="A11" s="116"/>
      <c r="B11" s="117"/>
      <c r="C11" s="2208" t="s">
        <v>2312</v>
      </c>
      <c r="D11" s="110">
        <f t="shared" si="0"/>
        <v>0</v>
      </c>
      <c r="E11" s="115">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6"/>
      <c r="B12" s="117"/>
      <c r="C12" s="110" t="s">
        <v>212</v>
      </c>
      <c r="D12" s="110">
        <f t="shared" si="0"/>
        <v>0</v>
      </c>
      <c r="E12" s="115">
        <f>SUMPRODUCT(('数据-基础表'!BB10:BK10="地下")*('数据-基础表'!BB11:BK11="仓储")*('数据-基础表'!BB5:BK5))</f>
        <v>0</v>
      </c>
      <c r="F12" s="3080"/>
      <c r="G12" s="3081"/>
      <c r="H12" s="3081"/>
      <c r="I12" s="3080"/>
      <c r="J12" s="3080"/>
      <c r="K12" s="3080"/>
      <c r="L12" s="3080"/>
      <c r="M12" s="3080"/>
      <c r="N12" s="3080"/>
      <c r="O12" s="3080"/>
      <c r="P12" s="3080"/>
    </row>
    <row r="13" spans="1:16">
      <c r="A13" s="116"/>
      <c r="B13" s="117"/>
      <c r="C13" s="2208" t="s">
        <v>2319</v>
      </c>
      <c r="D13" s="110">
        <f t="shared" si="0"/>
        <v>0</v>
      </c>
      <c r="E13" s="115">
        <f>SUMPRODUCT(('数据-基础表'!BB10:BK10="地下")*('数据-基础表'!BB11:BK11="车库")*('数据-基础表'!BB5:BK5))</f>
        <v>0</v>
      </c>
      <c r="F13" s="3080"/>
      <c r="G13" s="3081"/>
      <c r="H13" s="3081"/>
      <c r="I13" s="3080"/>
      <c r="J13" s="3080"/>
      <c r="K13" s="3080"/>
      <c r="L13" s="3080"/>
      <c r="M13" s="3080"/>
      <c r="N13" s="3080"/>
      <c r="O13" s="3080"/>
      <c r="P13" s="3080"/>
    </row>
    <row r="14" spans="1:16">
      <c r="A14" s="116"/>
      <c r="B14" s="117"/>
      <c r="C14" s="110" t="s">
        <v>230</v>
      </c>
      <c r="D14" s="110">
        <f t="shared" si="0"/>
        <v>0</v>
      </c>
      <c r="E14" s="115">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6"/>
      <c r="B15" s="117"/>
      <c r="C15" s="110" t="s">
        <v>231</v>
      </c>
      <c r="D15" s="110">
        <f t="shared" si="0"/>
        <v>0</v>
      </c>
      <c r="E15" s="115">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2"/>
      <c r="B16" s="117"/>
      <c r="C16" s="114" t="s">
        <v>213</v>
      </c>
      <c r="D16" s="114">
        <f>SUM(D8:D15)</f>
        <v>5500.65</v>
      </c>
      <c r="E16" s="119">
        <f>SUM(E8:E15)</f>
        <v>30803.628000000001</v>
      </c>
      <c r="F16" s="3080"/>
      <c r="G16" s="3081"/>
      <c r="H16" s="954" t="s">
        <v>217</v>
      </c>
      <c r="I16" s="955"/>
      <c r="J16" s="1895"/>
      <c r="K16" s="3472" t="s">
        <v>2545</v>
      </c>
      <c r="L16" s="3473"/>
      <c r="M16" s="3473"/>
      <c r="N16" s="3473"/>
      <c r="O16" s="3473"/>
      <c r="P16" s="3474"/>
    </row>
    <row r="17" spans="1:19" ht="15">
      <c r="A17" s="120" t="s">
        <v>214</v>
      </c>
      <c r="B17" s="121" t="s">
        <v>215</v>
      </c>
      <c r="C17" s="2175" t="s">
        <v>2298</v>
      </c>
      <c r="D17" s="107" t="s">
        <v>202</v>
      </c>
      <c r="E17" s="123" t="s">
        <v>203</v>
      </c>
      <c r="F17" s="124"/>
      <c r="G17" s="1317"/>
      <c r="H17" s="956" t="s">
        <v>216</v>
      </c>
      <c r="I17" s="957" t="s">
        <v>2297</v>
      </c>
      <c r="J17" s="1895"/>
      <c r="K17" s="3475" t="s">
        <v>2546</v>
      </c>
      <c r="L17" s="3476"/>
      <c r="M17" s="3477"/>
      <c r="N17" s="3475" t="s">
        <v>2547</v>
      </c>
      <c r="O17" s="3476"/>
      <c r="P17" s="3477"/>
      <c r="R17" s="2176" t="s">
        <v>2296</v>
      </c>
      <c r="S17" s="141"/>
    </row>
    <row r="18" spans="1:19" ht="15">
      <c r="A18" s="116"/>
      <c r="B18" s="127"/>
      <c r="C18" s="128"/>
      <c r="D18" s="2481"/>
      <c r="E18" s="129" t="s">
        <v>218</v>
      </c>
      <c r="F18" s="130" t="s">
        <v>219</v>
      </c>
      <c r="G18" s="1318" t="s">
        <v>220</v>
      </c>
      <c r="H18" s="958" t="s">
        <v>221</v>
      </c>
      <c r="I18" s="959" t="s">
        <v>222</v>
      </c>
      <c r="J18" s="1895"/>
      <c r="K18" s="2446" t="s">
        <v>2548</v>
      </c>
      <c r="L18" s="2447" t="s">
        <v>2549</v>
      </c>
      <c r="M18" s="2448" t="s">
        <v>2550</v>
      </c>
      <c r="N18" s="2446" t="s">
        <v>2548</v>
      </c>
      <c r="O18" s="2447" t="s">
        <v>2549</v>
      </c>
      <c r="P18" s="2448" t="s">
        <v>2550</v>
      </c>
      <c r="R18" s="2177" t="s">
        <v>2294</v>
      </c>
      <c r="S18" s="2177" t="s">
        <v>2295</v>
      </c>
    </row>
    <row r="19" spans="1:19">
      <c r="A19" s="132"/>
      <c r="B19" s="114" t="s">
        <v>223</v>
      </c>
      <c r="C19" s="2735" t="s">
        <v>3058</v>
      </c>
      <c r="D19" s="110">
        <f t="shared" ref="D19:D26" si="1">ROUND($D$3*E19/$E$3,2)</f>
        <v>0</v>
      </c>
      <c r="E19" s="133">
        <f t="shared" ref="E19:E26" si="2">SUM(F19:G19)</f>
        <v>0</v>
      </c>
      <c r="F19" s="3333">
        <f>'数据-基础表'!I14+'数据-基础表'!I15</f>
        <v>0</v>
      </c>
      <c r="G19" s="3083"/>
      <c r="H19" s="960" t="e">
        <f>ROUND($D$3*I19/$E$3,2)</f>
        <v>#DIV/0!</v>
      </c>
      <c r="I19" s="115" t="e">
        <f>IF($I$17="自定义",P19,M19)</f>
        <v>#DIV/0!</v>
      </c>
      <c r="J19" s="1895"/>
      <c r="K19" s="2449">
        <f t="shared" ref="K19:K26" si="3">ROUND(E$28*E19/E$27,2)</f>
        <v>0</v>
      </c>
      <c r="L19" s="271" t="e">
        <f t="shared" ref="L19:L26" si="4">ROUND(IF(COUNTIF(C19,"*住宅*")&gt;0,E$29*E19/E$32,0),2)</f>
        <v>#DIV/0!</v>
      </c>
      <c r="M19" s="2450" t="e">
        <f>K19+L19</f>
        <v>#DIV/0!</v>
      </c>
      <c r="N19" s="2451"/>
      <c r="O19" s="2452"/>
      <c r="P19" s="2453">
        <f>N19+O19</f>
        <v>0</v>
      </c>
      <c r="R19" s="271" t="e">
        <f t="shared" ref="R19:S26" si="5">D19+H19</f>
        <v>#DIV/0!</v>
      </c>
      <c r="S19" s="2178" t="e">
        <f t="shared" si="5"/>
        <v>#DIV/0!</v>
      </c>
    </row>
    <row r="20" spans="1:19">
      <c r="A20" s="136"/>
      <c r="B20" s="114" t="s">
        <v>224</v>
      </c>
      <c r="C20" s="2735" t="s">
        <v>3059</v>
      </c>
      <c r="D20" s="110">
        <f t="shared" si="1"/>
        <v>2750.33</v>
      </c>
      <c r="E20" s="133">
        <f t="shared" si="2"/>
        <v>15401.814</v>
      </c>
      <c r="F20" s="3082">
        <f>'数据-基础表'!K5</f>
        <v>15401.814</v>
      </c>
      <c r="G20" s="3083"/>
      <c r="H20" s="960">
        <f t="shared" ref="H20:H26" si="6">ROUND($D$3*I20/$E$3,2)</f>
        <v>0</v>
      </c>
      <c r="I20" s="115">
        <f t="shared" ref="I20:I26" si="7">IF($I$17="自定义",P20,M20)</f>
        <v>0</v>
      </c>
      <c r="J20" s="1895"/>
      <c r="K20" s="2449">
        <f t="shared" si="3"/>
        <v>0</v>
      </c>
      <c r="L20" s="271">
        <f t="shared" si="4"/>
        <v>0</v>
      </c>
      <c r="M20" s="2450">
        <f t="shared" ref="M20:M26" si="8">K20+L20</f>
        <v>0</v>
      </c>
      <c r="N20" s="2451"/>
      <c r="O20" s="2452"/>
      <c r="P20" s="2453">
        <f t="shared" ref="P20:P26" si="9">N20+O20</f>
        <v>0</v>
      </c>
      <c r="R20" s="271">
        <f t="shared" si="5"/>
        <v>2750.33</v>
      </c>
      <c r="S20" s="2178">
        <f t="shared" si="5"/>
        <v>15401.814</v>
      </c>
    </row>
    <row r="21" spans="1:19">
      <c r="A21" s="136"/>
      <c r="B21" s="114" t="s">
        <v>224</v>
      </c>
      <c r="C21" s="2735" t="s">
        <v>3060</v>
      </c>
      <c r="D21" s="110">
        <f t="shared" si="1"/>
        <v>2750.33</v>
      </c>
      <c r="E21" s="133">
        <f t="shared" si="2"/>
        <v>15401.814</v>
      </c>
      <c r="F21" s="3082">
        <f>F20</f>
        <v>15401.814</v>
      </c>
      <c r="G21" s="3083"/>
      <c r="H21" s="960">
        <f t="shared" si="6"/>
        <v>0</v>
      </c>
      <c r="I21" s="115">
        <f t="shared" si="7"/>
        <v>0</v>
      </c>
      <c r="J21" s="1895"/>
      <c r="K21" s="2449">
        <f t="shared" si="3"/>
        <v>0</v>
      </c>
      <c r="L21" s="271">
        <f t="shared" si="4"/>
        <v>0</v>
      </c>
      <c r="M21" s="2450">
        <f t="shared" si="8"/>
        <v>0</v>
      </c>
      <c r="N21" s="2451"/>
      <c r="O21" s="2452"/>
      <c r="P21" s="2453">
        <f t="shared" si="9"/>
        <v>0</v>
      </c>
      <c r="R21" s="271">
        <f t="shared" si="5"/>
        <v>2750.33</v>
      </c>
      <c r="S21" s="2178">
        <f t="shared" si="5"/>
        <v>15401.814</v>
      </c>
    </row>
    <row r="22" spans="1:19">
      <c r="A22" s="136"/>
      <c r="B22" s="114" t="s">
        <v>224</v>
      </c>
      <c r="C22" s="1316"/>
      <c r="D22" s="110">
        <f t="shared" si="1"/>
        <v>0</v>
      </c>
      <c r="E22" s="133">
        <f t="shared" si="2"/>
        <v>0</v>
      </c>
      <c r="F22" s="3084"/>
      <c r="G22" s="3085"/>
      <c r="H22" s="960">
        <f t="shared" si="6"/>
        <v>0</v>
      </c>
      <c r="I22" s="115">
        <f t="shared" si="7"/>
        <v>0</v>
      </c>
      <c r="J22" s="1895"/>
      <c r="K22" s="2449">
        <f t="shared" si="3"/>
        <v>0</v>
      </c>
      <c r="L22" s="271">
        <f t="shared" si="4"/>
        <v>0</v>
      </c>
      <c r="M22" s="2450">
        <f t="shared" si="8"/>
        <v>0</v>
      </c>
      <c r="N22" s="2451"/>
      <c r="O22" s="2452"/>
      <c r="P22" s="2453">
        <f t="shared" si="9"/>
        <v>0</v>
      </c>
      <c r="R22" s="271">
        <f t="shared" si="5"/>
        <v>0</v>
      </c>
      <c r="S22" s="2178">
        <f t="shared" si="5"/>
        <v>0</v>
      </c>
    </row>
    <row r="23" spans="1:19">
      <c r="A23" s="136"/>
      <c r="B23" s="114" t="s">
        <v>224</v>
      </c>
      <c r="C23" s="137"/>
      <c r="D23" s="110">
        <f>ROUND($D$3*E23/$E$3,2)</f>
        <v>0</v>
      </c>
      <c r="E23" s="133">
        <f>SUM(F23:G23)</f>
        <v>0</v>
      </c>
      <c r="F23" s="3084"/>
      <c r="G23" s="3085"/>
      <c r="H23" s="960">
        <f>ROUND($D$3*I23/$E$3,2)</f>
        <v>0</v>
      </c>
      <c r="I23" s="115">
        <f t="shared" si="7"/>
        <v>0</v>
      </c>
      <c r="J23" s="1895"/>
      <c r="K23" s="2449">
        <f t="shared" si="3"/>
        <v>0</v>
      </c>
      <c r="L23" s="271">
        <f t="shared" si="4"/>
        <v>0</v>
      </c>
      <c r="M23" s="2450">
        <f t="shared" si="8"/>
        <v>0</v>
      </c>
      <c r="N23" s="2451"/>
      <c r="O23" s="2452"/>
      <c r="P23" s="2453">
        <f t="shared" si="9"/>
        <v>0</v>
      </c>
      <c r="R23" s="271">
        <f t="shared" si="5"/>
        <v>0</v>
      </c>
      <c r="S23" s="2178">
        <f t="shared" si="5"/>
        <v>0</v>
      </c>
    </row>
    <row r="24" spans="1:19">
      <c r="A24" s="136"/>
      <c r="B24" s="114" t="s">
        <v>224</v>
      </c>
      <c r="C24" s="137"/>
      <c r="D24" s="110">
        <f>ROUND($D$3*E24/$E$3,2)</f>
        <v>0</v>
      </c>
      <c r="E24" s="133">
        <f>SUM(F24:G24)</f>
        <v>0</v>
      </c>
      <c r="F24" s="3084"/>
      <c r="G24" s="3085"/>
      <c r="H24" s="960">
        <f>ROUND($D$3*I24/$E$3,2)</f>
        <v>0</v>
      </c>
      <c r="I24" s="115">
        <f t="shared" si="7"/>
        <v>0</v>
      </c>
      <c r="J24" s="1895"/>
      <c r="K24" s="2449">
        <f t="shared" si="3"/>
        <v>0</v>
      </c>
      <c r="L24" s="271">
        <f t="shared" si="4"/>
        <v>0</v>
      </c>
      <c r="M24" s="2450">
        <f t="shared" si="8"/>
        <v>0</v>
      </c>
      <c r="N24" s="2451"/>
      <c r="O24" s="2452"/>
      <c r="P24" s="2453">
        <f t="shared" si="9"/>
        <v>0</v>
      </c>
      <c r="R24" s="271">
        <f t="shared" si="5"/>
        <v>0</v>
      </c>
      <c r="S24" s="2178">
        <f t="shared" si="5"/>
        <v>0</v>
      </c>
    </row>
    <row r="25" spans="1:19">
      <c r="A25" s="136"/>
      <c r="B25" s="114" t="s">
        <v>224</v>
      </c>
      <c r="C25" s="137"/>
      <c r="D25" s="110">
        <f t="shared" si="1"/>
        <v>0</v>
      </c>
      <c r="E25" s="133">
        <f t="shared" si="2"/>
        <v>0</v>
      </c>
      <c r="F25" s="3084"/>
      <c r="G25" s="3085"/>
      <c r="H25" s="109">
        <f t="shared" si="6"/>
        <v>0</v>
      </c>
      <c r="I25" s="115">
        <f t="shared" si="7"/>
        <v>0</v>
      </c>
      <c r="J25" s="1895"/>
      <c r="K25" s="2449">
        <f t="shared" si="3"/>
        <v>0</v>
      </c>
      <c r="L25" s="271">
        <f t="shared" si="4"/>
        <v>0</v>
      </c>
      <c r="M25" s="2450">
        <f t="shared" si="8"/>
        <v>0</v>
      </c>
      <c r="N25" s="2451"/>
      <c r="O25" s="2452"/>
      <c r="P25" s="2453">
        <f t="shared" si="9"/>
        <v>0</v>
      </c>
      <c r="R25" s="271">
        <f t="shared" si="5"/>
        <v>0</v>
      </c>
      <c r="S25" s="2178">
        <f t="shared" si="5"/>
        <v>0</v>
      </c>
    </row>
    <row r="26" spans="1:19">
      <c r="A26" s="136"/>
      <c r="B26" s="114" t="s">
        <v>224</v>
      </c>
      <c r="C26" s="139"/>
      <c r="D26" s="110">
        <f t="shared" si="1"/>
        <v>0</v>
      </c>
      <c r="E26" s="133">
        <f t="shared" si="2"/>
        <v>0</v>
      </c>
      <c r="F26" s="3084"/>
      <c r="G26" s="3085"/>
      <c r="H26" s="109">
        <f t="shared" si="6"/>
        <v>0</v>
      </c>
      <c r="I26" s="115">
        <f t="shared" si="7"/>
        <v>0</v>
      </c>
      <c r="J26" s="1895"/>
      <c r="K26" s="2454">
        <f t="shared" si="3"/>
        <v>0</v>
      </c>
      <c r="L26" s="276">
        <f t="shared" si="4"/>
        <v>0</v>
      </c>
      <c r="M26" s="143">
        <f t="shared" si="8"/>
        <v>0</v>
      </c>
      <c r="N26" s="2455"/>
      <c r="O26" s="2456"/>
      <c r="P26" s="2457">
        <f t="shared" si="9"/>
        <v>0</v>
      </c>
      <c r="R26" s="271">
        <f t="shared" si="5"/>
        <v>0</v>
      </c>
      <c r="S26" s="2178">
        <f t="shared" si="5"/>
        <v>0</v>
      </c>
    </row>
    <row r="27" spans="1:19" ht="15.75" thickBot="1">
      <c r="A27" s="136"/>
      <c r="B27" s="110"/>
      <c r="C27" s="126" t="s">
        <v>213</v>
      </c>
      <c r="D27" s="133">
        <f>SUM(D19:D26)</f>
        <v>5500.66</v>
      </c>
      <c r="E27" s="140">
        <f>IF(SUM(E19:E26)='数据-基础表'!BA5,SUM(E19:E26),IF(F27="地上面积有误","面积有误","地下面积有误"))</f>
        <v>30803.628000000001</v>
      </c>
      <c r="F27" s="133">
        <f>IF(SUM(F19:F26)=E8,SUM(F19:F26),"地上面积有误")</f>
        <v>30803.628000000001</v>
      </c>
      <c r="G27" s="111">
        <f>SUM(G19:G26)</f>
        <v>0</v>
      </c>
      <c r="H27" s="961" t="e">
        <f>SUM(H19:H26)</f>
        <v>#DIV/0!</v>
      </c>
      <c r="I27" s="962" t="e">
        <f>SUM(I19:I26)</f>
        <v>#DIV/0!</v>
      </c>
      <c r="J27" s="1895"/>
      <c r="K27" s="2458">
        <f>SUM(K19:K26)</f>
        <v>0</v>
      </c>
      <c r="L27" s="2459" t="e">
        <f>SUM(L19:L26)</f>
        <v>#DIV/0!</v>
      </c>
      <c r="M27" s="2460" t="e">
        <f>SUM(M19:M26)</f>
        <v>#DIV/0!</v>
      </c>
      <c r="N27" s="2458">
        <f t="shared" ref="N27:O27" si="10">SUM(N19:N26)</f>
        <v>0</v>
      </c>
      <c r="O27" s="2459">
        <f t="shared" si="10"/>
        <v>0</v>
      </c>
      <c r="P27" s="2461">
        <f>SUM(P19:P26)</f>
        <v>0</v>
      </c>
      <c r="R27" s="2182" t="e">
        <f>IF(SUM(R19:R26)=$D$3,SUM(R19:R26),SUM(R19:R26)&amp;"误差"&amp;ROUND(SUM(R19:R26)-$D$3,2))</f>
        <v>#DIV/0!</v>
      </c>
      <c r="S27" s="271" t="e">
        <f>IF(SUM(S19:S26)=$E$3,SUM(S19:S26),SUM(S19:S26)&amp;"误差"&amp;ROUND(SUM(S19:S26)-E3,2))</f>
        <v>#DIV/0!</v>
      </c>
    </row>
    <row r="28" spans="1:19">
      <c r="A28" s="136"/>
      <c r="B28" s="114" t="s">
        <v>225</v>
      </c>
      <c r="C28" s="134" t="s">
        <v>226</v>
      </c>
      <c r="D28" s="110">
        <f>ROUND($D$3*E28/$E$3,2)</f>
        <v>0</v>
      </c>
      <c r="E28" s="133">
        <f>SUM(F28:G28)</f>
        <v>0</v>
      </c>
      <c r="F28" s="141">
        <f>'数据-基础表'!BQ5+'数据-基础表'!BS5</f>
        <v>0</v>
      </c>
      <c r="G28" s="142">
        <f>'数据-基础表'!BR5+'数据-基础表'!BT5</f>
        <v>0</v>
      </c>
      <c r="H28" s="3080"/>
      <c r="I28" s="3080"/>
      <c r="J28" s="3080"/>
      <c r="K28" s="3080"/>
      <c r="L28" s="3080"/>
      <c r="M28" s="3080"/>
      <c r="N28" s="3080"/>
      <c r="O28" s="3080"/>
      <c r="P28" s="3080"/>
    </row>
    <row r="29" spans="1:19">
      <c r="A29" s="136"/>
      <c r="B29" s="114" t="s">
        <v>225</v>
      </c>
      <c r="C29" s="2190" t="s">
        <v>2305</v>
      </c>
      <c r="D29" s="110">
        <f>ROUND($D$3*E29/$E$3,2)</f>
        <v>0</v>
      </c>
      <c r="E29" s="133">
        <f>SUM(F29:G29)</f>
        <v>0</v>
      </c>
      <c r="F29" s="141">
        <f>'数据-基础表'!BM5+'数据-基础表'!BO5</f>
        <v>0</v>
      </c>
      <c r="G29" s="143">
        <f>'数据-基础表'!BN5+'数据-基础表'!BP5</f>
        <v>0</v>
      </c>
      <c r="H29" s="3080"/>
      <c r="I29" s="3080"/>
      <c r="J29" s="3080"/>
      <c r="K29" s="3080"/>
      <c r="L29" s="3080"/>
      <c r="M29" s="3080"/>
      <c r="N29" s="3080"/>
      <c r="O29" s="3080"/>
      <c r="P29" s="3080"/>
    </row>
    <row r="30" spans="1:19">
      <c r="A30" s="136"/>
      <c r="B30" s="110"/>
      <c r="C30" s="144" t="s">
        <v>213</v>
      </c>
      <c r="D30" s="133">
        <f>SUM(D28:D29)</f>
        <v>0</v>
      </c>
      <c r="E30" s="133">
        <f>SUM(E28:E29)</f>
        <v>0</v>
      </c>
      <c r="F30" s="133">
        <f>SUM(F28:F29)</f>
        <v>0</v>
      </c>
      <c r="G30" s="111">
        <f>SUM(G28:G29)</f>
        <v>0</v>
      </c>
      <c r="H30" s="3080"/>
      <c r="I30" s="3080"/>
      <c r="J30" s="3080"/>
      <c r="K30" s="3080"/>
      <c r="L30" s="3080"/>
      <c r="M30" s="3080"/>
      <c r="N30" s="3080"/>
      <c r="O30" s="3080"/>
      <c r="P30" s="3080"/>
    </row>
    <row r="31" spans="1:19" ht="32.25" customHeight="1" thickBot="1">
      <c r="A31" s="1319"/>
      <c r="B31" s="1320" t="s">
        <v>227</v>
      </c>
      <c r="C31" s="2207" t="s">
        <v>2307</v>
      </c>
      <c r="D31" s="1321">
        <f>D27+D30</f>
        <v>5500.66</v>
      </c>
      <c r="E31" s="1321">
        <f>E27+E30</f>
        <v>30803.628000000001</v>
      </c>
      <c r="F31" s="1322">
        <f>F27+F30</f>
        <v>30803.628000000001</v>
      </c>
      <c r="G31" s="1323">
        <f>G27+G30</f>
        <v>0</v>
      </c>
      <c r="H31" s="3080"/>
      <c r="I31" s="3080"/>
      <c r="J31" s="3080"/>
      <c r="K31" s="3080"/>
      <c r="L31" s="3080"/>
      <c r="M31" s="3080"/>
      <c r="N31" s="3080"/>
      <c r="O31" s="3080"/>
      <c r="P31" s="3080"/>
    </row>
    <row r="32" spans="1:19">
      <c r="A32" s="1895"/>
      <c r="B32" s="2219" t="s">
        <v>2306</v>
      </c>
      <c r="C32" s="2486"/>
      <c r="D32" s="1182"/>
      <c r="E32" s="1182">
        <f>SUMIF(C19:C26,"*住宅*",E19:E26)</f>
        <v>0</v>
      </c>
      <c r="F32" s="1182"/>
      <c r="G32" s="1182"/>
      <c r="H32" s="3080"/>
      <c r="I32" s="3080"/>
      <c r="J32" s="3080"/>
      <c r="K32" s="3080"/>
      <c r="L32" s="3080"/>
      <c r="M32" s="3080"/>
      <c r="N32" s="3080"/>
      <c r="O32" s="3080"/>
      <c r="P32" s="3080"/>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80" zoomScaleNormal="80" workbookViewId="0">
      <pane xSplit="3" ySplit="5" topLeftCell="T6" activePane="bottomRight" state="frozen"/>
      <selection pane="topRight" activeCell="D1" sqref="D1"/>
      <selection pane="bottomLeft" activeCell="A4" sqref="A4"/>
      <selection pane="bottomRight" activeCell="AM9" sqref="AM9"/>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232</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7"/>
      <c r="AO1" s="3087"/>
      <c r="AP1" s="3087"/>
      <c r="AQ1" s="3087"/>
      <c r="AR1" s="3087"/>
      <c r="AS1" s="3087"/>
      <c r="AT1" s="3087"/>
      <c r="AU1" s="3087"/>
      <c r="AV1" s="3087"/>
      <c r="AW1" s="3087"/>
      <c r="AX1" s="3087"/>
      <c r="AY1" s="3087"/>
      <c r="AZ1" s="3087"/>
    </row>
    <row r="2" spans="1:83" s="1187" customFormat="1" ht="15.75" thickBot="1">
      <c r="A2" s="146" t="s">
        <v>233</v>
      </c>
      <c r="B2" s="2215">
        <f>项目基本情况!D3</f>
        <v>44424</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90"/>
      <c r="AO2" s="3090"/>
      <c r="AP2" s="3090"/>
      <c r="AQ2" s="3090"/>
      <c r="AR2" s="3090"/>
      <c r="AS2" s="3090"/>
      <c r="AT2" s="3090"/>
      <c r="AU2" s="3090"/>
      <c r="AV2" s="3090"/>
      <c r="AW2" s="3090"/>
      <c r="AX2" s="3090"/>
      <c r="AY2" s="3090"/>
      <c r="AZ2" s="3090"/>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90"/>
      <c r="AO3" s="3090"/>
      <c r="AP3" s="3090"/>
      <c r="AQ3" s="3090"/>
      <c r="AR3" s="3090"/>
      <c r="AS3" s="3090"/>
      <c r="AT3" s="3090"/>
      <c r="AU3" s="3090"/>
      <c r="AV3" s="3090"/>
      <c r="AW3" s="3090"/>
      <c r="AX3" s="3090"/>
      <c r="AY3" s="3090"/>
      <c r="AZ3" s="3090"/>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90"/>
      <c r="AO4" s="3090"/>
      <c r="AP4" s="3090"/>
      <c r="AQ4" s="3090"/>
      <c r="AR4" s="3090"/>
      <c r="AS4" s="3090"/>
      <c r="AT4" s="3090"/>
      <c r="AU4" s="3090"/>
      <c r="AV4" s="3090"/>
      <c r="AW4" s="3090"/>
      <c r="AX4" s="3090"/>
      <c r="AY4" s="3090"/>
      <c r="AZ4" s="3090"/>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2" t="s">
        <v>2551</v>
      </c>
      <c r="T5" s="165" t="s">
        <v>248</v>
      </c>
      <c r="U5" s="166" t="s">
        <v>249</v>
      </c>
      <c r="V5" s="156" t="s">
        <v>250</v>
      </c>
      <c r="W5" s="156" t="s">
        <v>251</v>
      </c>
      <c r="X5" s="1730"/>
      <c r="Y5" s="167" t="s">
        <v>252</v>
      </c>
      <c r="Z5" s="168" t="s">
        <v>253</v>
      </c>
      <c r="AA5" s="156" t="s">
        <v>250</v>
      </c>
      <c r="AB5" s="156" t="s">
        <v>251</v>
      </c>
      <c r="AC5" s="1731"/>
      <c r="AD5" s="169" t="s">
        <v>252</v>
      </c>
      <c r="AE5" s="1" t="s">
        <v>860</v>
      </c>
      <c r="AF5" s="156" t="s">
        <v>254</v>
      </c>
      <c r="AG5" s="167" t="s">
        <v>255</v>
      </c>
      <c r="AH5" s="1731" t="s">
        <v>2308</v>
      </c>
      <c r="AI5" s="168" t="s">
        <v>2277</v>
      </c>
      <c r="AJ5" s="168" t="s">
        <v>256</v>
      </c>
      <c r="AK5" s="156" t="s">
        <v>257</v>
      </c>
      <c r="AL5" s="156" t="s">
        <v>258</v>
      </c>
      <c r="AM5" s="169" t="s">
        <v>259</v>
      </c>
      <c r="AN5" s="2243" t="s">
        <v>2355</v>
      </c>
      <c r="AO5" s="3101"/>
      <c r="AP5" s="3086" t="s">
        <v>2967</v>
      </c>
      <c r="AQ5" s="3101"/>
      <c r="AR5" s="3101"/>
      <c r="AS5" s="3101"/>
      <c r="AT5" s="3101"/>
      <c r="AU5" s="3101"/>
      <c r="AV5" s="3101"/>
      <c r="AW5" s="3101"/>
      <c r="AX5" s="3101"/>
      <c r="AY5" s="3101"/>
      <c r="AZ5" s="3101"/>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住宅</v>
      </c>
      <c r="B6" s="2214" t="str">
        <f>IF(A6=0,"","经营性")</f>
        <v>经营性</v>
      </c>
      <c r="C6" s="170" t="s">
        <v>912</v>
      </c>
      <c r="D6" s="2185">
        <f>SUMIF(项目基本情况!D$15:I$15,C6,项目基本情况!D$18:I$18)</f>
        <v>70</v>
      </c>
      <c r="E6" s="2186">
        <f>IF(B6="","",SUMIF(项目基本情况!D$15:I$15,C6,项目基本情况!D$17:I$17))</f>
        <v>69996</v>
      </c>
      <c r="F6" s="171">
        <f>SUMIF(项目基本情况!D$15:I$15,C6,项目基本情况!D$19:I$19)</f>
        <v>70</v>
      </c>
      <c r="G6" s="172">
        <f>IF(ISERROR(ROUND(POWER(1+H6,D6-F6)*(POWER(1+H6,F6)-1)/(POWER(1+H6,D6)-1),3)),0,ROUND(POWER(1+H6,D6-F6)*(POWER(1+H6,F6)-1)/(POWER(1+H6,D6)-1),3))</f>
        <v>0</v>
      </c>
      <c r="H6" s="2736"/>
      <c r="I6" s="2736"/>
      <c r="J6" s="173"/>
      <c r="K6" s="176">
        <f>SUMIF('数据-汇总表'!C$19:C$33,'数据-取费表'!A6,'数据-汇总表'!E$19:E$33)</f>
        <v>0</v>
      </c>
      <c r="L6" s="2737">
        <v>5000</v>
      </c>
      <c r="M6" s="174">
        <f t="shared" ref="M6:M14" si="0">ROUND(K6*L6/10000,0)</f>
        <v>0</v>
      </c>
      <c r="N6" s="2738">
        <v>0</v>
      </c>
      <c r="O6" s="174">
        <f>IF($N$5="成新度","——",ROUND(M6*N6,0))</f>
        <v>0</v>
      </c>
      <c r="P6" s="175">
        <f>IF($N$5="成新度","——",M6-O6)</f>
        <v>0</v>
      </c>
      <c r="Q6" s="2739">
        <v>0.25</v>
      </c>
      <c r="R6" s="176" t="e">
        <f>SUMIF('数据-汇总表'!C$19:C$33,A6,'数据-汇总表'!R$19:R$33)</f>
        <v>#DIV/0!</v>
      </c>
      <c r="S6" s="131">
        <f>IF('数据-汇总表'!$I$17="按面积比例",SUMIF('数据-汇总表'!C$19:C$33,A6,'数据-汇总表'!K$19:K$33),SUMIF('数据-汇总表'!C$19:C$33,A6,'数据-汇总表'!N$19:N$33))</f>
        <v>0</v>
      </c>
      <c r="T6" s="2111" t="str">
        <f>IF($T$4="按面积比例",IF(ISERROR(ROUND($M$14*S6/S$16,0)),"0",ROUND($M$14*S6/S$16,0)),"需自行计算录入")</f>
        <v>0</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50"/>
      <c r="AN6" s="2244"/>
      <c r="AO6" s="3090"/>
      <c r="AP6" s="1185">
        <f>ROUND(1-1/(1+H6)^F6,3)</f>
        <v>0</v>
      </c>
      <c r="AQ6" s="3090"/>
      <c r="AR6" s="3090"/>
      <c r="AS6" s="3090"/>
      <c r="AT6" s="3090"/>
      <c r="AU6" s="3090"/>
      <c r="AV6" s="3090"/>
      <c r="AW6" s="3090"/>
      <c r="AX6" s="3090"/>
      <c r="AY6" s="3090"/>
      <c r="AZ6" s="3090"/>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商业</v>
      </c>
      <c r="B7" s="2214" t="str">
        <f t="shared" ref="B7:B13" si="1">IF(A7=0,"","经营性")</f>
        <v>经营性</v>
      </c>
      <c r="C7" s="170" t="s">
        <v>3028</v>
      </c>
      <c r="D7" s="2185">
        <f>SUMIF(项目基本情况!D$15:I$15,C7,项目基本情况!D$18:I$18)</f>
        <v>40</v>
      </c>
      <c r="E7" s="2186">
        <f>IF(B7="","",SUMIF(项目基本情况!D$15:I$15,C7,项目基本情况!D$17:I$17))</f>
        <v>59039</v>
      </c>
      <c r="F7" s="171">
        <f>SUMIF(项目基本情况!D$15:I$15,C7,项目基本情况!D$19:I$19)</f>
        <v>40</v>
      </c>
      <c r="G7" s="172">
        <f t="shared" ref="G7:G11" si="2">IF(ISERROR(ROUND(POWER(1+H7,D7-F7)*(POWER(1+H7,F7)-1)/(POWER(1+H7,D7)-1),3)),0,ROUND(POWER(1+H7,D7-F7)*(POWER(1+H7,F7)-1)/(POWER(1+H7,D7)-1),3))</f>
        <v>0</v>
      </c>
      <c r="H7" s="2736"/>
      <c r="I7" s="2736">
        <v>4.2000000000000003E-2</v>
      </c>
      <c r="J7" s="173"/>
      <c r="K7" s="176">
        <f>SUMIF('数据-汇总表'!C$19:C$33,'数据-取费表'!A7,'数据-汇总表'!E$19:E$33)</f>
        <v>15401.814</v>
      </c>
      <c r="L7" s="2737">
        <v>4500</v>
      </c>
      <c r="M7" s="174">
        <f t="shared" si="0"/>
        <v>6931</v>
      </c>
      <c r="N7" s="2738">
        <v>0</v>
      </c>
      <c r="O7" s="174">
        <f t="shared" ref="O7:O14" si="3">IF($N$5="成新度","——",ROUND(M7*N7,0))</f>
        <v>0</v>
      </c>
      <c r="P7" s="175">
        <f t="shared" ref="P7:P14" si="4">IF($N$5="成新度","——",M7-O7)</f>
        <v>6931</v>
      </c>
      <c r="Q7" s="2739">
        <v>0.3</v>
      </c>
      <c r="R7" s="176">
        <f>SUMIF('数据-汇总表'!C$19:C$33,A7,'数据-汇总表'!R$19:R$33)</f>
        <v>2750.33</v>
      </c>
      <c r="S7" s="131">
        <f>IF('数据-汇总表'!$I$17="按面积比例",SUMIF('数据-汇总表'!C$19:C$33,A7,'数据-汇总表'!K$19:K$33),SUMIF('数据-汇总表'!C$19:C$33,A7,'数据-汇总表'!N$19:N$33))</f>
        <v>0</v>
      </c>
      <c r="T7" s="2111" t="str">
        <f t="shared" ref="T7:T13" si="5">IF($T$4="按面积比例",IF(ISERROR(ROUND($M$14*S7/S$16,0)),"0",ROUND($M$14*S7/S$16,0)),"需自行计算录入")</f>
        <v>0</v>
      </c>
      <c r="U7" s="177">
        <f>'不动产比较法-商业'!C48</f>
        <v>5.3</v>
      </c>
      <c r="V7" s="178">
        <v>0</v>
      </c>
      <c r="W7" s="178">
        <v>0.08</v>
      </c>
      <c r="X7" s="2198"/>
      <c r="Y7" s="179">
        <v>1</v>
      </c>
      <c r="Z7" s="180"/>
      <c r="AA7" s="173"/>
      <c r="AB7" s="173"/>
      <c r="AC7" s="2201"/>
      <c r="AD7" s="181"/>
      <c r="AE7" s="958">
        <f t="shared" ref="AE7:AE13" ca="1" si="6">IF(AN7="",0,SUMIF(INDIRECT("'"&amp;AN7&amp;"'"&amp;"!E:E"),$AE$5,INDIRECT("'"&amp;AN7&amp;"'"&amp;"!F:F")))</f>
        <v>40</v>
      </c>
      <c r="AF7" s="138"/>
      <c r="AG7" s="1194">
        <f t="shared" ref="AG7:AG13" si="7">IF(AF7="",0,AE7-AF7)</f>
        <v>0</v>
      </c>
      <c r="AH7" s="138"/>
      <c r="AI7" s="184">
        <v>365</v>
      </c>
      <c r="AJ7" s="185"/>
      <c r="AK7" s="3390">
        <v>0.01</v>
      </c>
      <c r="AL7" s="3391">
        <v>1E-3</v>
      </c>
      <c r="AM7" s="3392">
        <v>0.01</v>
      </c>
      <c r="AN7" s="2244" t="s">
        <v>3076</v>
      </c>
      <c r="AO7" s="3090"/>
      <c r="AP7" s="1185">
        <f t="shared" ref="AP7:AP13" si="8">ROUND(1-1/(1+H7)^F7,3)</f>
        <v>0</v>
      </c>
      <c r="AQ7" s="3090"/>
      <c r="AR7" s="3090"/>
      <c r="AS7" s="3090"/>
      <c r="AT7" s="3090"/>
      <c r="AU7" s="3090"/>
      <c r="AV7" s="3090"/>
      <c r="AW7" s="3090"/>
      <c r="AX7" s="3090"/>
      <c r="AY7" s="3090"/>
      <c r="AZ7" s="3090"/>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办公</v>
      </c>
      <c r="B8" s="2214" t="str">
        <f t="shared" si="1"/>
        <v>经营性</v>
      </c>
      <c r="C8" s="170" t="s">
        <v>1665</v>
      </c>
      <c r="D8" s="2185">
        <f>SUMIF(项目基本情况!D$15:I$15,C8,项目基本情况!D$18:I$18)</f>
        <v>50</v>
      </c>
      <c r="E8" s="2186">
        <f>IF(B8="","",SUMIF(项目基本情况!D$15:I$15,C8,项目基本情况!D$17:I$17))</f>
        <v>62691</v>
      </c>
      <c r="F8" s="171">
        <f>SUMIF(项目基本情况!D$15:I$15,C8,项目基本情况!D$19:I$19)</f>
        <v>50</v>
      </c>
      <c r="G8" s="172">
        <f t="shared" si="2"/>
        <v>0</v>
      </c>
      <c r="H8" s="2736"/>
      <c r="I8" s="2736">
        <v>3.5000000000000003E-2</v>
      </c>
      <c r="J8" s="173"/>
      <c r="K8" s="176">
        <f>SUMIF('数据-汇总表'!C$19:C$33,'数据-取费表'!A8,'数据-汇总表'!E$19:E$33)</f>
        <v>15401.814</v>
      </c>
      <c r="L8" s="3381">
        <v>4500</v>
      </c>
      <c r="M8" s="174">
        <f>ROUND(K8*L8/10000,0)</f>
        <v>6931</v>
      </c>
      <c r="N8" s="2738">
        <v>0</v>
      </c>
      <c r="O8" s="174">
        <f t="shared" si="3"/>
        <v>0</v>
      </c>
      <c r="P8" s="175">
        <f t="shared" si="4"/>
        <v>6931</v>
      </c>
      <c r="Q8" s="2739">
        <v>0.25</v>
      </c>
      <c r="R8" s="176">
        <f>SUMIF('数据-汇总表'!C$19:C$33,A8,'数据-汇总表'!R$19:R$33)</f>
        <v>2750.33</v>
      </c>
      <c r="S8" s="131">
        <f>IF('数据-汇总表'!$I$17="按面积比例",SUMIF('数据-汇总表'!C$19:C$33,A8,'数据-汇总表'!K$19:K$33),SUMIF('数据-汇总表'!C$19:C$33,A8,'数据-汇总表'!N$19:N$33))</f>
        <v>0</v>
      </c>
      <c r="T8" s="2111" t="str">
        <f t="shared" si="5"/>
        <v>0</v>
      </c>
      <c r="U8" s="177">
        <f>'不动产比较法-办公'!C49</f>
        <v>3.7</v>
      </c>
      <c r="V8" s="178">
        <v>0</v>
      </c>
      <c r="W8" s="3393">
        <v>0.05</v>
      </c>
      <c r="X8" s="2198"/>
      <c r="Y8" s="179">
        <v>1</v>
      </c>
      <c r="Z8" s="180"/>
      <c r="AA8" s="173"/>
      <c r="AB8" s="173"/>
      <c r="AC8" s="2201"/>
      <c r="AD8" s="181"/>
      <c r="AE8" s="958">
        <f t="shared" ca="1" si="6"/>
        <v>50</v>
      </c>
      <c r="AF8" s="138"/>
      <c r="AG8" s="1194">
        <f t="shared" si="7"/>
        <v>0</v>
      </c>
      <c r="AH8" s="138"/>
      <c r="AI8" s="184">
        <v>365</v>
      </c>
      <c r="AJ8" s="185"/>
      <c r="AK8" s="3390">
        <v>5.0000000000000001E-3</v>
      </c>
      <c r="AL8" s="3391">
        <v>5.0000000000000001E-4</v>
      </c>
      <c r="AM8" s="3392">
        <v>5.0000000000000001E-3</v>
      </c>
      <c r="AN8" s="2244" t="s">
        <v>3078</v>
      </c>
      <c r="AO8" s="3090"/>
      <c r="AP8" s="1185">
        <f t="shared" si="8"/>
        <v>0</v>
      </c>
      <c r="AQ8" s="3090"/>
      <c r="AR8" s="3090"/>
      <c r="AS8" s="3090"/>
      <c r="AT8" s="3090"/>
      <c r="AU8" s="3090"/>
      <c r="AV8" s="3090"/>
      <c r="AW8" s="3090"/>
      <c r="AX8" s="3090"/>
      <c r="AY8" s="3090"/>
      <c r="AZ8" s="3090"/>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1"/>
        <v/>
      </c>
      <c r="C9" s="170"/>
      <c r="D9" s="2185">
        <f>SUMIF(项目基本情况!D$15:I$15,C9,项目基本情况!D$18:I$18)</f>
        <v>0</v>
      </c>
      <c r="E9" s="218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1" t="str">
        <f t="shared" si="5"/>
        <v>0</v>
      </c>
      <c r="U9" s="177"/>
      <c r="V9" s="178"/>
      <c r="W9" s="178"/>
      <c r="X9" s="2198"/>
      <c r="Y9" s="179"/>
      <c r="Z9" s="180"/>
      <c r="AA9" s="173"/>
      <c r="AB9" s="173"/>
      <c r="AC9" s="2201"/>
      <c r="AD9" s="181"/>
      <c r="AE9" s="958">
        <f t="shared" ca="1" si="6"/>
        <v>0</v>
      </c>
      <c r="AF9" s="138"/>
      <c r="AG9" s="1194">
        <f t="shared" si="7"/>
        <v>0</v>
      </c>
      <c r="AH9" s="138"/>
      <c r="AI9" s="184"/>
      <c r="AJ9" s="185"/>
      <c r="AK9" s="3390"/>
      <c r="AL9" s="3391"/>
      <c r="AM9" s="3392"/>
      <c r="AN9" s="2244"/>
      <c r="AO9" s="3090"/>
      <c r="AP9" s="1185">
        <f t="shared" si="8"/>
        <v>0</v>
      </c>
      <c r="AQ9" s="3090"/>
      <c r="AR9" s="3090"/>
      <c r="AS9" s="3090"/>
      <c r="AT9" s="3090"/>
      <c r="AU9" s="3090"/>
      <c r="AV9" s="3090"/>
      <c r="AW9" s="3090"/>
      <c r="AX9" s="3090"/>
      <c r="AY9" s="3090"/>
      <c r="AZ9" s="3090"/>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t="str">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90"/>
      <c r="AP10" s="1185">
        <f t="shared" si="8"/>
        <v>0</v>
      </c>
      <c r="AQ10" s="3090"/>
      <c r="AR10" s="3090"/>
      <c r="AS10" s="3090"/>
      <c r="AT10" s="3090"/>
      <c r="AU10" s="3090"/>
      <c r="AV10" s="3090"/>
      <c r="AW10" s="3090"/>
      <c r="AX10" s="3090"/>
      <c r="AY10" s="3090"/>
      <c r="AZ10" s="3090"/>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t="str">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90"/>
      <c r="AP11" s="1185">
        <f t="shared" si="8"/>
        <v>0</v>
      </c>
      <c r="AQ11" s="3090"/>
      <c r="AR11" s="3090"/>
      <c r="AS11" s="3090"/>
      <c r="AT11" s="3090"/>
      <c r="AU11" s="3090"/>
      <c r="AV11" s="3090"/>
      <c r="AW11" s="3090"/>
      <c r="AX11" s="3090"/>
      <c r="AY11" s="3090"/>
      <c r="AZ11" s="3090"/>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t="str">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90"/>
      <c r="AP12" s="1185">
        <f t="shared" si="8"/>
        <v>0</v>
      </c>
      <c r="AQ12" s="3090"/>
      <c r="AR12" s="3090"/>
      <c r="AS12" s="3090"/>
      <c r="AT12" s="3090"/>
      <c r="AU12" s="3090"/>
      <c r="AV12" s="3090"/>
      <c r="AW12" s="3090"/>
      <c r="AX12" s="3090"/>
      <c r="AY12" s="3090"/>
      <c r="AZ12" s="3090"/>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t="str">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90"/>
      <c r="AP13" s="1185">
        <f t="shared" si="8"/>
        <v>0</v>
      </c>
      <c r="AQ13" s="3090"/>
      <c r="AR13" s="3090"/>
      <c r="AS13" s="3090"/>
      <c r="AT13" s="3090"/>
      <c r="AU13" s="3090"/>
      <c r="AV13" s="3090"/>
      <c r="AW13" s="3090"/>
      <c r="AX13" s="3090"/>
      <c r="AY13" s="3090"/>
      <c r="AZ13" s="3090"/>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2299</v>
      </c>
      <c r="B14" s="2183" t="s">
        <v>1667</v>
      </c>
      <c r="C14" s="2184" t="s">
        <v>2299</v>
      </c>
      <c r="D14" s="2185"/>
      <c r="E14" s="2186"/>
      <c r="F14" s="171"/>
      <c r="G14" s="172"/>
      <c r="H14" s="2187"/>
      <c r="I14" s="2187"/>
      <c r="J14" s="2187"/>
      <c r="K14" s="176">
        <f>SUMIF('数据-汇总表'!C$19:C$33,'数据-取费表'!A14,'数据-汇总表'!E$19:E$33)</f>
        <v>0</v>
      </c>
      <c r="L14" s="190"/>
      <c r="M14" s="174">
        <f t="shared" si="0"/>
        <v>0</v>
      </c>
      <c r="N14" s="191"/>
      <c r="O14" s="174">
        <f t="shared" si="3"/>
        <v>0</v>
      </c>
      <c r="P14" s="175">
        <f t="shared" si="4"/>
        <v>0</v>
      </c>
      <c r="Q14" s="2195"/>
      <c r="R14" s="176"/>
      <c r="S14" s="131"/>
      <c r="T14" s="2194"/>
      <c r="U14" s="960"/>
      <c r="V14" s="2197"/>
      <c r="W14" s="2197"/>
      <c r="X14" s="2198"/>
      <c r="Y14" s="2199"/>
      <c r="Z14" s="134"/>
      <c r="AA14" s="2200"/>
      <c r="AB14" s="2200"/>
      <c r="AC14" s="2201"/>
      <c r="AD14" s="2198"/>
      <c r="AE14" s="958"/>
      <c r="AF14" s="2173"/>
      <c r="AG14" s="1194"/>
      <c r="AH14" s="2173"/>
      <c r="AI14" s="1504"/>
      <c r="AJ14" s="1504"/>
      <c r="AK14" s="2202"/>
      <c r="AL14" s="2203"/>
      <c r="AM14" s="2204"/>
      <c r="AN14" s="3090"/>
      <c r="AO14" s="3090"/>
      <c r="AP14" s="3090"/>
      <c r="AQ14" s="3090"/>
      <c r="AR14" s="3090"/>
      <c r="AS14" s="3090"/>
      <c r="AT14" s="3090"/>
      <c r="AU14" s="3090"/>
      <c r="AV14" s="3090"/>
      <c r="AW14" s="3090"/>
      <c r="AX14" s="3090"/>
      <c r="AY14" s="3090"/>
      <c r="AZ14" s="3090"/>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2301</v>
      </c>
      <c r="B15" s="2183" t="s">
        <v>1667</v>
      </c>
      <c r="C15" s="2184" t="s">
        <v>2300</v>
      </c>
      <c r="D15" s="2185"/>
      <c r="E15" s="2186"/>
      <c r="F15" s="171"/>
      <c r="G15" s="172"/>
      <c r="H15" s="2187"/>
      <c r="I15" s="2187"/>
      <c r="J15" s="2187"/>
      <c r="K15" s="176">
        <f>SUMIF('数据-汇总表'!C$19:C$33,'数据-取费表'!A15,'数据-汇总表'!E$19:E$33)</f>
        <v>0</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4"/>
      <c r="AJ15" s="1504"/>
      <c r="AK15" s="2202"/>
      <c r="AL15" s="2203"/>
      <c r="AM15" s="2204"/>
      <c r="AN15" s="3090"/>
      <c r="AO15" s="3090"/>
      <c r="AP15" s="3090"/>
      <c r="AQ15" s="3090"/>
      <c r="AR15" s="3090"/>
      <c r="AS15" s="3090"/>
      <c r="AT15" s="3090"/>
      <c r="AU15" s="3090"/>
      <c r="AV15" s="3090"/>
      <c r="AW15" s="3090"/>
      <c r="AX15" s="3090"/>
      <c r="AY15" s="3090"/>
      <c r="AZ15" s="3090"/>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30803.628000000001</v>
      </c>
      <c r="L16" s="203">
        <f>ROUND(M16*10000/SUM(K6:K14),0)</f>
        <v>4500</v>
      </c>
      <c r="M16" s="203">
        <f>SUM(M6:M14)</f>
        <v>13862</v>
      </c>
      <c r="N16" s="204">
        <f>ROUND(SUMPRODUCT(M6:M14,N6:N14)/M16,3)</f>
        <v>0</v>
      </c>
      <c r="O16" s="203">
        <f>SUM(O6:O14)</f>
        <v>0</v>
      </c>
      <c r="P16" s="203">
        <f>SUM(P6:P14)</f>
        <v>13862</v>
      </c>
      <c r="Q16" s="205">
        <f>ROUND(SUMPRODUCT(Q6:Q13,K6:K13)/SUMPRODUCT((Q6:Q13&gt;0)*(K6:K13)),2)</f>
        <v>0.28000000000000003</v>
      </c>
      <c r="R16" s="2188" t="e">
        <f>SUM(R6:R13)</f>
        <v>#DIV/0!</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90"/>
      <c r="AO16" s="3090"/>
      <c r="AP16" s="1185" t="e">
        <f>ROUND(SUMPRODUCT(AP6:AP13,K6:K13)/SUMPRODUCT((AP6:AP13&gt;0)*(K6:K13)),3)</f>
        <v>#DIV/0!</v>
      </c>
      <c r="AQ16" s="3090"/>
      <c r="AR16" s="3090"/>
      <c r="AS16" s="3090"/>
      <c r="AT16" s="3090"/>
      <c r="AU16" s="3090"/>
      <c r="AV16" s="3090"/>
      <c r="AW16" s="3090"/>
      <c r="AX16" s="3090"/>
      <c r="AY16" s="3090"/>
      <c r="AZ16" s="3090"/>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7" t="s">
        <v>261</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4" t="s">
        <v>262</v>
      </c>
      <c r="B19" s="215">
        <v>0</v>
      </c>
      <c r="C19" s="3102" t="s">
        <v>2980</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6" t="s">
        <v>263</v>
      </c>
      <c r="B20" s="217">
        <v>1.5</v>
      </c>
      <c r="C20" s="3102" t="s">
        <v>2320</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8" t="s">
        <v>264</v>
      </c>
      <c r="B21" s="217">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6" t="s">
        <v>265</v>
      </c>
      <c r="B22" s="219">
        <f>B19+B20</f>
        <v>1.5</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8" t="s">
        <v>266</v>
      </c>
      <c r="B23" s="219">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0" t="s">
        <v>267</v>
      </c>
      <c r="B24" s="221">
        <f>B20-B21</f>
        <v>1.5</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8"/>
      <c r="B25" s="1185"/>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6" t="s">
        <v>268</v>
      </c>
      <c r="B26" s="222" t="s">
        <v>269</v>
      </c>
      <c r="C26" s="3092" t="s">
        <v>270</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6" customFormat="1" ht="27.75">
      <c r="A27" s="223" t="s">
        <v>2322</v>
      </c>
      <c r="B27" s="224">
        <v>170</v>
      </c>
      <c r="C27" s="3103" t="s">
        <v>2981</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2323</v>
      </c>
      <c r="B28" s="226">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2321</v>
      </c>
      <c r="B29" s="229"/>
      <c r="C29" s="3104" t="s">
        <v>2324</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271</v>
      </c>
      <c r="B30" s="964"/>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272</v>
      </c>
      <c r="B31" s="227">
        <f>B30-B32</f>
        <v>-140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3" t="s">
        <v>273</v>
      </c>
      <c r="B32" s="1327">
        <f>基准地价商业!E17-基准地价商业!G17</f>
        <v>140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276</v>
      </c>
      <c r="B33" s="1328">
        <v>0.03</v>
      </c>
      <c r="C33" s="3105" t="s">
        <v>2968</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277</v>
      </c>
      <c r="B34" s="230">
        <v>0.1</v>
      </c>
      <c r="C34" s="3105" t="s">
        <v>2969</v>
      </c>
      <c r="D34" s="3106" t="s">
        <v>2977</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5" t="s">
        <v>274</v>
      </c>
      <c r="B35" s="226">
        <v>200</v>
      </c>
      <c r="C35" s="3105" t="s">
        <v>2970</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8" t="s">
        <v>275</v>
      </c>
      <c r="B36" s="231">
        <v>1.4999999999999999E-2</v>
      </c>
      <c r="C36" s="3105" t="s">
        <v>2971</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2" t="s">
        <v>278</v>
      </c>
      <c r="B37" s="3397">
        <v>0.01</v>
      </c>
      <c r="C37" s="3105" t="s">
        <v>2972</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5" t="s">
        <v>279</v>
      </c>
      <c r="B38" s="3396">
        <v>0.01</v>
      </c>
      <c r="C38" s="3105" t="s">
        <v>2972</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39" t="s">
        <v>2435</v>
      </c>
      <c r="B39" s="788">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2339" t="s">
        <v>2436</v>
      </c>
      <c r="B40" s="2331">
        <f ca="1">存贷款利率!E2</f>
        <v>4.7500000000000001E-2</v>
      </c>
      <c r="C40" s="3105" t="s">
        <v>2973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3" t="s">
        <v>280</v>
      </c>
      <c r="B41" s="234">
        <f>B42+B43</f>
        <v>5.5000000000000007E-2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5" t="s">
        <v>281</v>
      </c>
      <c r="B42" s="236">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5" t="s">
        <v>282</v>
      </c>
      <c r="B43" s="237">
        <f>B42*(B44+B45+B46)+B47</f>
        <v>5.000000000000001E-3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5" t="s">
        <v>283</v>
      </c>
      <c r="B44" s="238">
        <v>0.05</v>
      </c>
      <c r="C44" s="3105" t="s">
        <v>2978</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5" t="s">
        <v>284</v>
      </c>
      <c r="B45" s="236">
        <v>0.03</v>
      </c>
      <c r="C45" s="3108" t="s">
        <v>2974</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5" t="s">
        <v>285</v>
      </c>
      <c r="B46" s="236">
        <v>0.02</v>
      </c>
      <c r="C46" s="3108" t="s">
        <v>2975</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39" t="s">
        <v>286</v>
      </c>
      <c r="B47" s="240"/>
      <c r="C47" s="3103" t="s">
        <v>2982</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1" t="s">
        <v>287</v>
      </c>
      <c r="B48" s="242">
        <v>0.03</v>
      </c>
      <c r="C48" s="3108" t="s">
        <v>2974</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3" t="s">
        <v>288</v>
      </c>
      <c r="B49" s="236">
        <v>5.0000000000000001E-4</v>
      </c>
      <c r="C49" s="3108" t="s">
        <v>2976</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3" t="s">
        <v>289</v>
      </c>
      <c r="B50" s="244">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8" t="s">
        <v>290</v>
      </c>
      <c r="B51" s="245">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3" t="s">
        <v>291</v>
      </c>
      <c r="B52" s="246">
        <f>SUMIF(A54:A63,B53,B54:B63)</f>
        <v>1.5</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5" t="s">
        <v>292</v>
      </c>
      <c r="B53" s="247" t="s">
        <v>1398</v>
      </c>
      <c r="C53" s="3098" t="s">
        <v>2870</v>
      </c>
      <c r="D53" s="3109" t="s">
        <v>2979</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2871</v>
      </c>
      <c r="B54" s="183"/>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2872</v>
      </c>
      <c r="B55" s="183"/>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2873</v>
      </c>
      <c r="B56" s="183"/>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2874</v>
      </c>
      <c r="B57" s="183"/>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2875</v>
      </c>
      <c r="B58" s="183"/>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2876</v>
      </c>
      <c r="B59" s="183">
        <v>1.5</v>
      </c>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2877</v>
      </c>
      <c r="B60" s="183"/>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2878</v>
      </c>
      <c r="B61" s="183"/>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2879</v>
      </c>
      <c r="B62" s="183"/>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2880</v>
      </c>
      <c r="B63" s="248"/>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5" customFormat="1">
      <c r="A64" s="249"/>
      <c r="D64" s="1906"/>
      <c r="K64" s="56"/>
      <c r="L64" s="56"/>
    </row>
    <row r="65" spans="1:12" s="1905" customFormat="1">
      <c r="A65" s="249"/>
      <c r="D65" s="1906"/>
      <c r="K65" s="56"/>
      <c r="L65" s="56"/>
    </row>
    <row r="66" spans="1:12" s="1905" customFormat="1">
      <c r="A66" s="249"/>
      <c r="D66" s="1906"/>
      <c r="K66" s="56"/>
      <c r="L66" s="56"/>
    </row>
    <row r="67" spans="1:12" s="1905" customFormat="1">
      <c r="A67" s="249"/>
      <c r="D67" s="1906"/>
      <c r="K67" s="56"/>
      <c r="L67" s="56"/>
    </row>
    <row r="68" spans="1:12" s="1905" customFormat="1">
      <c r="A68" s="249"/>
      <c r="D68" s="1906"/>
      <c r="K68" s="56"/>
      <c r="L68" s="56"/>
    </row>
    <row r="69" spans="1:12" s="1905" customFormat="1">
      <c r="A69" s="249"/>
      <c r="D69" s="1906"/>
      <c r="K69" s="56"/>
      <c r="L69" s="56"/>
    </row>
    <row r="70" spans="1:12" s="1905" customFormat="1">
      <c r="A70" s="249"/>
      <c r="D70" s="1906"/>
      <c r="K70" s="56"/>
      <c r="L70" s="56"/>
    </row>
    <row r="71" spans="1:12" s="1905" customFormat="1">
      <c r="A71" s="249"/>
      <c r="D71" s="1906"/>
      <c r="K71" s="56"/>
      <c r="L71" s="56"/>
    </row>
    <row r="72" spans="1:12" s="1905" customFormat="1">
      <c r="A72" s="249"/>
      <c r="D72" s="1906"/>
      <c r="K72" s="56"/>
      <c r="L72" s="56"/>
    </row>
    <row r="73" spans="1:12" s="1905" customFormat="1">
      <c r="A73" s="249"/>
      <c r="D73" s="1906"/>
      <c r="K73" s="56"/>
      <c r="L73" s="56"/>
    </row>
    <row r="74" spans="1:12" s="1905" customFormat="1">
      <c r="A74" s="249"/>
      <c r="D74" s="1906"/>
      <c r="K74" s="56"/>
      <c r="L74" s="56"/>
    </row>
    <row r="75" spans="1:12" s="1905" customFormat="1">
      <c r="A75" s="249"/>
      <c r="D75" s="1906"/>
      <c r="K75" s="56"/>
      <c r="L75" s="56"/>
    </row>
    <row r="76" spans="1:12" s="1905" customFormat="1">
      <c r="A76" s="249"/>
      <c r="D76" s="1906"/>
      <c r="K76" s="56"/>
      <c r="L76" s="56"/>
    </row>
    <row r="77" spans="1:12" s="1905" customFormat="1">
      <c r="A77" s="249"/>
      <c r="D77" s="1906"/>
      <c r="K77" s="56"/>
      <c r="L77" s="56"/>
    </row>
    <row r="78" spans="1:12" s="1905" customFormat="1">
      <c r="A78" s="249"/>
      <c r="D78" s="1906"/>
      <c r="K78" s="56"/>
      <c r="L78" s="56"/>
    </row>
    <row r="79" spans="1:12" s="1905" customFormat="1">
      <c r="A79" s="249"/>
      <c r="D79" s="1906"/>
      <c r="K79" s="56"/>
      <c r="L79" s="56"/>
    </row>
    <row r="80" spans="1:12" s="1905" customFormat="1">
      <c r="A80" s="249"/>
      <c r="D80" s="1906"/>
      <c r="K80" s="56"/>
      <c r="L80" s="56"/>
    </row>
    <row r="81" spans="1:12" s="1905" customFormat="1">
      <c r="A81" s="249"/>
      <c r="D81" s="1906"/>
      <c r="K81" s="56"/>
      <c r="L81" s="56"/>
    </row>
    <row r="82" spans="1:12" s="1905" customFormat="1">
      <c r="A82" s="249"/>
      <c r="D82" s="1906"/>
      <c r="K82" s="56"/>
      <c r="L82" s="56"/>
    </row>
    <row r="83" spans="1:12" s="1905" customFormat="1">
      <c r="A83" s="249"/>
      <c r="D83" s="1906"/>
      <c r="K83" s="56"/>
      <c r="L83" s="56"/>
    </row>
    <row r="84" spans="1:12" s="1905" customFormat="1">
      <c r="A84" s="249"/>
      <c r="D84" s="1906"/>
      <c r="K84" s="56"/>
      <c r="L84" s="56"/>
    </row>
    <row r="85" spans="1:12" s="1905" customFormat="1">
      <c r="A85" s="249"/>
      <c r="D85" s="1906"/>
      <c r="K85" s="56"/>
      <c r="L85" s="56"/>
    </row>
    <row r="86" spans="1:12" s="1905" customFormat="1">
      <c r="A86" s="249"/>
      <c r="D86" s="1906"/>
      <c r="K86" s="56"/>
      <c r="L86" s="56"/>
    </row>
    <row r="87" spans="1:12" s="1905" customFormat="1">
      <c r="A87" s="249"/>
      <c r="D87" s="1906"/>
      <c r="K87" s="56"/>
      <c r="L87" s="56"/>
    </row>
    <row r="88" spans="1:12" s="1905" customFormat="1">
      <c r="A88" s="249"/>
      <c r="D88" s="1906"/>
      <c r="K88" s="56"/>
      <c r="L88" s="56"/>
    </row>
    <row r="89" spans="1:12" s="1905" customFormat="1">
      <c r="A89" s="249"/>
      <c r="D89" s="1906"/>
      <c r="K89" s="56"/>
      <c r="L89" s="56"/>
    </row>
    <row r="90" spans="1:12" s="1905" customFormat="1">
      <c r="A90" s="249"/>
      <c r="D90" s="1906"/>
      <c r="K90" s="56"/>
      <c r="L90" s="56"/>
    </row>
    <row r="91" spans="1:12" s="1905" customFormat="1">
      <c r="A91" s="249"/>
      <c r="D91" s="1906"/>
      <c r="K91" s="56"/>
      <c r="L91" s="56"/>
    </row>
    <row r="92" spans="1:12" s="1905" customFormat="1">
      <c r="A92" s="249"/>
      <c r="D92" s="1906"/>
      <c r="K92" s="56"/>
      <c r="L92" s="56"/>
    </row>
    <row r="93" spans="1:12" s="1905" customFormat="1">
      <c r="A93" s="249"/>
      <c r="D93" s="1906"/>
      <c r="K93" s="56"/>
      <c r="L93" s="56"/>
    </row>
    <row r="94" spans="1:12" s="1905" customFormat="1">
      <c r="A94" s="249"/>
      <c r="D94" s="1906"/>
      <c r="K94" s="56"/>
      <c r="L94" s="56"/>
    </row>
    <row r="95" spans="1:12" s="1905" customFormat="1">
      <c r="A95" s="249"/>
      <c r="D95" s="1906"/>
      <c r="K95" s="56"/>
      <c r="L95" s="56"/>
    </row>
    <row r="96" spans="1:12" s="1905" customFormat="1">
      <c r="A96" s="249"/>
      <c r="D96" s="1906"/>
      <c r="K96" s="56"/>
      <c r="L96" s="56"/>
    </row>
    <row r="97" spans="1:12" s="1905" customFormat="1">
      <c r="A97" s="249"/>
      <c r="D97" s="1906"/>
      <c r="K97" s="56"/>
      <c r="L97" s="56"/>
    </row>
    <row r="98" spans="1:12" s="1905" customFormat="1">
      <c r="A98" s="249"/>
      <c r="D98" s="1906"/>
      <c r="K98" s="56"/>
      <c r="L98" s="56"/>
    </row>
    <row r="99" spans="1:12" s="1905" customFormat="1">
      <c r="A99" s="249"/>
      <c r="D99" s="1906"/>
      <c r="K99" s="56"/>
      <c r="L99" s="56"/>
    </row>
    <row r="100" spans="1:12" s="1905" customFormat="1">
      <c r="A100" s="249"/>
      <c r="D100" s="1906"/>
      <c r="K100" s="56"/>
      <c r="L100" s="56"/>
    </row>
    <row r="101" spans="1:12" s="1905" customFormat="1">
      <c r="A101" s="249"/>
      <c r="D101" s="1906"/>
      <c r="K101" s="56"/>
      <c r="L101" s="56"/>
    </row>
    <row r="102" spans="1:12" s="1905" customFormat="1">
      <c r="A102" s="249"/>
      <c r="D102" s="1906"/>
      <c r="K102" s="56"/>
      <c r="L102" s="56"/>
    </row>
    <row r="103" spans="1:12" s="1905" customFormat="1">
      <c r="A103" s="249"/>
      <c r="D103" s="1906"/>
      <c r="K103" s="56"/>
      <c r="L103" s="56"/>
    </row>
    <row r="104" spans="1:12" s="1905" customFormat="1">
      <c r="A104" s="249"/>
      <c r="D104" s="1906"/>
      <c r="K104" s="56"/>
      <c r="L104" s="56"/>
    </row>
    <row r="105" spans="1:12" s="1905" customFormat="1">
      <c r="A105" s="249"/>
      <c r="D105" s="1906"/>
      <c r="K105" s="56"/>
      <c r="L105" s="56"/>
    </row>
    <row r="106" spans="1:12" s="1905" customFormat="1">
      <c r="A106" s="249"/>
      <c r="D106" s="1906"/>
      <c r="K106" s="56"/>
      <c r="L106" s="56"/>
    </row>
    <row r="107" spans="1:12" s="1905" customFormat="1">
      <c r="A107" s="249"/>
      <c r="D107" s="1906"/>
      <c r="K107" s="56"/>
      <c r="L107" s="56"/>
    </row>
    <row r="108" spans="1:12" s="1905" customFormat="1">
      <c r="A108" s="249"/>
      <c r="D108" s="1906"/>
      <c r="K108" s="56"/>
      <c r="L108" s="56"/>
    </row>
    <row r="109" spans="1:12" s="1905" customFormat="1">
      <c r="A109" s="249"/>
      <c r="D109" s="1906"/>
      <c r="K109" s="56"/>
      <c r="L109" s="56"/>
    </row>
    <row r="110" spans="1:12" s="1905" customFormat="1">
      <c r="A110" s="249"/>
      <c r="D110" s="1906"/>
      <c r="K110" s="56"/>
      <c r="L110" s="56"/>
    </row>
    <row r="111" spans="1:12" s="1905" customFormat="1">
      <c r="A111" s="249"/>
      <c r="D111" s="1906"/>
      <c r="K111" s="56"/>
      <c r="L111" s="56"/>
    </row>
    <row r="112" spans="1:12" s="1905" customFormat="1">
      <c r="A112" s="249"/>
      <c r="D112" s="1906"/>
      <c r="K112" s="56"/>
      <c r="L112" s="56"/>
    </row>
    <row r="113" spans="1:12" s="1905" customFormat="1">
      <c r="A113" s="249"/>
      <c r="D113" s="1906"/>
      <c r="K113" s="56"/>
      <c r="L113" s="56"/>
    </row>
    <row r="114" spans="1:12" s="1905" customFormat="1">
      <c r="A114" s="249"/>
      <c r="D114" s="1906"/>
      <c r="K114" s="56"/>
      <c r="L114" s="56"/>
    </row>
    <row r="115" spans="1:12" s="1905" customFormat="1">
      <c r="A115" s="249"/>
      <c r="D115" s="1906"/>
      <c r="K115" s="56"/>
      <c r="L115" s="56"/>
    </row>
    <row r="116" spans="1:12" s="1905" customFormat="1">
      <c r="A116" s="249"/>
      <c r="D116" s="1906"/>
      <c r="K116" s="56"/>
      <c r="L116" s="56"/>
    </row>
    <row r="117" spans="1:12" s="1905" customFormat="1">
      <c r="A117" s="249"/>
      <c r="D117" s="1906"/>
      <c r="K117" s="56"/>
      <c r="L117" s="56"/>
    </row>
    <row r="118" spans="1:12" s="1905" customFormat="1">
      <c r="A118" s="249"/>
      <c r="D118" s="1906"/>
      <c r="K118" s="56"/>
      <c r="L118" s="56"/>
    </row>
    <row r="119" spans="1:12" s="1905" customFormat="1">
      <c r="A119" s="249"/>
      <c r="D119" s="1906"/>
      <c r="K119" s="56"/>
      <c r="L119" s="56"/>
    </row>
    <row r="120" spans="1:12" s="1905" customFormat="1">
      <c r="A120" s="249"/>
      <c r="D120" s="1906"/>
      <c r="K120" s="56"/>
      <c r="L120" s="56"/>
    </row>
    <row r="121" spans="1:12" s="1905" customFormat="1">
      <c r="A121" s="249"/>
      <c r="D121" s="1906"/>
      <c r="K121" s="56"/>
      <c r="L121" s="56"/>
    </row>
    <row r="122" spans="1:12" s="1905" customFormat="1">
      <c r="A122" s="249"/>
      <c r="D122" s="1906"/>
      <c r="K122" s="56"/>
      <c r="L122" s="56"/>
    </row>
    <row r="123" spans="1:12" s="1905" customFormat="1">
      <c r="A123" s="249"/>
      <c r="D123" s="1906"/>
      <c r="K123" s="56"/>
      <c r="L123" s="56"/>
    </row>
    <row r="124" spans="1:12" s="1905" customFormat="1">
      <c r="A124" s="249"/>
      <c r="D124" s="1906"/>
      <c r="K124" s="56"/>
      <c r="L124" s="56"/>
    </row>
    <row r="125" spans="1:12" s="1905" customFormat="1">
      <c r="A125" s="249"/>
      <c r="D125" s="1906"/>
      <c r="K125" s="56"/>
      <c r="L125" s="56"/>
    </row>
    <row r="126" spans="1:12" s="1905" customFormat="1">
      <c r="A126" s="249"/>
      <c r="D126" s="1906"/>
      <c r="K126" s="56"/>
      <c r="L126" s="56"/>
    </row>
    <row r="127" spans="1:12" s="1905" customFormat="1">
      <c r="A127" s="249"/>
      <c r="D127" s="1906"/>
      <c r="K127" s="56"/>
      <c r="L127" s="56"/>
    </row>
    <row r="128" spans="1:12" s="1905" customFormat="1">
      <c r="A128" s="249"/>
      <c r="D128" s="1906"/>
      <c r="K128" s="56"/>
      <c r="L128" s="56"/>
    </row>
    <row r="129" spans="1:12" s="1905" customFormat="1">
      <c r="A129" s="249"/>
      <c r="D129" s="1906"/>
      <c r="K129" s="56"/>
      <c r="L129" s="56"/>
    </row>
    <row r="130" spans="1:12" s="1905" customFormat="1">
      <c r="A130" s="249"/>
      <c r="D130" s="1906"/>
      <c r="K130" s="56"/>
      <c r="L130" s="56"/>
    </row>
    <row r="131" spans="1:12" s="1905" customFormat="1">
      <c r="A131" s="249"/>
      <c r="D131" s="1906"/>
      <c r="K131" s="56"/>
      <c r="L131" s="56"/>
    </row>
    <row r="132" spans="1:12" s="1905" customFormat="1">
      <c r="A132" s="249"/>
      <c r="D132" s="1906"/>
      <c r="K132" s="56"/>
      <c r="L132" s="56"/>
    </row>
    <row r="133" spans="1:12" s="1905" customFormat="1">
      <c r="A133" s="249"/>
      <c r="D133" s="1906"/>
      <c r="K133" s="56"/>
      <c r="L133" s="56"/>
    </row>
    <row r="134" spans="1:12" s="1905" customFormat="1">
      <c r="A134" s="249"/>
      <c r="D134" s="1906"/>
      <c r="K134" s="56"/>
      <c r="L134" s="56"/>
    </row>
    <row r="135" spans="1:12" s="1905" customFormat="1">
      <c r="A135" s="249"/>
      <c r="D135" s="1906"/>
      <c r="K135" s="56"/>
      <c r="L135" s="56"/>
    </row>
    <row r="136" spans="1:12" s="1905" customFormat="1">
      <c r="A136" s="249"/>
      <c r="D136" s="1906"/>
      <c r="K136" s="56"/>
      <c r="L136" s="56"/>
    </row>
    <row r="137" spans="1:12" s="1905" customFormat="1">
      <c r="A137" s="249"/>
      <c r="D137" s="1906"/>
      <c r="K137" s="56"/>
      <c r="L137" s="56"/>
    </row>
    <row r="138" spans="1:12" s="1905" customFormat="1">
      <c r="A138" s="249"/>
      <c r="D138" s="1906"/>
      <c r="K138" s="56"/>
      <c r="L138" s="56"/>
    </row>
    <row r="139" spans="1:12" s="1905" customFormat="1">
      <c r="A139" s="249"/>
      <c r="D139" s="1906"/>
      <c r="K139" s="56"/>
      <c r="L139" s="56"/>
    </row>
    <row r="140" spans="1:12" s="1905" customFormat="1">
      <c r="A140" s="249"/>
      <c r="D140" s="1906"/>
      <c r="K140" s="56"/>
      <c r="L140" s="56"/>
    </row>
    <row r="141" spans="1:12" s="1905" customFormat="1">
      <c r="A141" s="249"/>
      <c r="D141" s="1906"/>
      <c r="K141" s="56"/>
      <c r="L141" s="56"/>
    </row>
    <row r="142" spans="1:12" s="1905" customFormat="1">
      <c r="A142" s="249"/>
      <c r="D142" s="1906"/>
      <c r="K142" s="56"/>
      <c r="L142" s="56"/>
    </row>
    <row r="143" spans="1:12" s="1905" customFormat="1">
      <c r="A143" s="249"/>
      <c r="D143" s="1906"/>
      <c r="K143" s="56"/>
      <c r="L143" s="56"/>
    </row>
    <row r="144" spans="1:12" s="1905" customFormat="1">
      <c r="A144" s="249"/>
      <c r="D144" s="1906"/>
      <c r="K144" s="56"/>
      <c r="L144" s="56"/>
    </row>
    <row r="145" spans="1:12" s="1905" customFormat="1">
      <c r="A145" s="249"/>
      <c r="D145" s="1906"/>
      <c r="K145" s="56"/>
      <c r="L145" s="56"/>
    </row>
    <row r="146" spans="1:12" s="1905" customFormat="1">
      <c r="A146" s="249"/>
      <c r="D146" s="1906"/>
      <c r="K146" s="56"/>
      <c r="L146" s="56"/>
    </row>
    <row r="147" spans="1:12" s="1905" customFormat="1">
      <c r="A147" s="249"/>
      <c r="D147" s="1906"/>
      <c r="K147" s="56"/>
      <c r="L147" s="56"/>
    </row>
    <row r="148" spans="1:12" s="1905" customFormat="1">
      <c r="A148" s="249"/>
      <c r="D148" s="1906"/>
      <c r="K148" s="56"/>
      <c r="L148" s="56"/>
    </row>
    <row r="149" spans="1:12" s="1905" customFormat="1">
      <c r="A149" s="249"/>
      <c r="D149" s="1906"/>
      <c r="K149" s="56"/>
      <c r="L149" s="56"/>
    </row>
    <row r="150" spans="1:12" s="1905" customFormat="1">
      <c r="A150" s="249"/>
      <c r="D150" s="1906"/>
      <c r="K150" s="56"/>
      <c r="L150" s="56"/>
    </row>
    <row r="151" spans="1:12" s="1905" customFormat="1">
      <c r="A151" s="249"/>
      <c r="D151" s="1906"/>
      <c r="K151" s="56"/>
      <c r="L151" s="56"/>
    </row>
    <row r="152" spans="1:12" s="1905" customFormat="1">
      <c r="A152" s="249"/>
      <c r="D152" s="1906"/>
      <c r="K152" s="56"/>
      <c r="L152" s="56"/>
    </row>
    <row r="153" spans="1:12" s="1905" customFormat="1">
      <c r="A153" s="249"/>
      <c r="D153" s="1906"/>
      <c r="K153" s="56"/>
      <c r="L153" s="56"/>
    </row>
    <row r="154" spans="1:12" s="1905" customFormat="1">
      <c r="A154" s="249"/>
      <c r="D154" s="1906"/>
      <c r="K154" s="56"/>
      <c r="L154" s="56"/>
    </row>
    <row r="155" spans="1:12" s="1905" customFormat="1">
      <c r="A155" s="249"/>
      <c r="D155" s="1906"/>
      <c r="K155" s="56"/>
      <c r="L155" s="56"/>
    </row>
    <row r="156" spans="1:12" s="1905" customFormat="1">
      <c r="A156" s="249"/>
      <c r="D156" s="1906"/>
      <c r="K156" s="56"/>
      <c r="L156" s="56"/>
    </row>
    <row r="157" spans="1:12" s="1905" customFormat="1">
      <c r="A157" s="249"/>
      <c r="D157" s="1906"/>
      <c r="K157" s="56"/>
      <c r="L157" s="56"/>
    </row>
    <row r="158" spans="1:12" s="1905" customFormat="1">
      <c r="A158" s="249"/>
      <c r="D158" s="1906"/>
      <c r="K158" s="56"/>
      <c r="L158" s="56"/>
    </row>
    <row r="159" spans="1:12" s="1905" customFormat="1">
      <c r="A159" s="249"/>
      <c r="D159" s="1906"/>
      <c r="K159" s="56"/>
      <c r="L159" s="56"/>
    </row>
    <row r="160" spans="1:12" s="1905" customFormat="1">
      <c r="A160" s="249"/>
      <c r="D160" s="1906"/>
      <c r="K160" s="56"/>
      <c r="L160" s="56"/>
    </row>
    <row r="161" spans="1:12" s="1905" customFormat="1">
      <c r="A161" s="249"/>
      <c r="D161" s="1906"/>
      <c r="K161" s="56"/>
      <c r="L161" s="56"/>
    </row>
    <row r="162" spans="1:12" s="1905" customFormat="1">
      <c r="A162" s="249"/>
      <c r="D162" s="1906"/>
      <c r="K162" s="56"/>
      <c r="L162" s="56"/>
    </row>
    <row r="163" spans="1:12" s="1905" customFormat="1">
      <c r="A163" s="249"/>
      <c r="D163" s="1906"/>
      <c r="K163" s="56"/>
      <c r="L163" s="56"/>
    </row>
    <row r="164" spans="1:12" s="1905" customFormat="1">
      <c r="A164" s="249"/>
      <c r="D164" s="1906"/>
      <c r="K164" s="56"/>
      <c r="L164" s="56"/>
    </row>
    <row r="165" spans="1:12" s="1905" customFormat="1">
      <c r="A165" s="249"/>
      <c r="D165" s="1906"/>
      <c r="K165" s="56"/>
      <c r="L165" s="56"/>
    </row>
    <row r="166" spans="1:12" s="1905" customFormat="1">
      <c r="A166" s="249"/>
      <c r="D166" s="1906"/>
      <c r="K166" s="56"/>
      <c r="L166" s="56"/>
    </row>
    <row r="167" spans="1:12" s="1905" customFormat="1">
      <c r="A167" s="249"/>
      <c r="D167" s="1906"/>
      <c r="K167" s="56"/>
      <c r="L167" s="56"/>
    </row>
    <row r="168" spans="1:12" s="1905" customFormat="1">
      <c r="A168" s="249"/>
      <c r="D168" s="1906"/>
      <c r="K168" s="56"/>
      <c r="L168" s="56"/>
    </row>
    <row r="169" spans="1:12" s="1905" customFormat="1">
      <c r="A169" s="249"/>
      <c r="D169" s="1906"/>
      <c r="K169" s="56"/>
      <c r="L169" s="56"/>
    </row>
    <row r="170" spans="1:12" s="1905" customFormat="1">
      <c r="A170" s="249"/>
      <c r="D170" s="1906"/>
      <c r="K170" s="56"/>
      <c r="L170" s="56"/>
    </row>
    <row r="171" spans="1:12" s="1905" customFormat="1">
      <c r="A171" s="249"/>
      <c r="D171" s="1906"/>
      <c r="K171" s="56"/>
      <c r="L171" s="56"/>
    </row>
    <row r="172" spans="1:12" s="1905" customFormat="1">
      <c r="A172" s="249"/>
      <c r="D172" s="1906"/>
      <c r="K172" s="56"/>
      <c r="L172" s="56"/>
    </row>
    <row r="173" spans="1:12" s="1905" customFormat="1">
      <c r="A173" s="249"/>
      <c r="D173" s="1906"/>
      <c r="K173" s="56"/>
      <c r="L173" s="56"/>
    </row>
    <row r="174" spans="1:12" s="1905" customFormat="1">
      <c r="A174" s="249"/>
      <c r="D174" s="1906"/>
      <c r="K174" s="56"/>
      <c r="L174" s="56"/>
    </row>
    <row r="175" spans="1:12" s="1905" customFormat="1">
      <c r="A175" s="249"/>
      <c r="D175" s="1906"/>
      <c r="K175" s="56"/>
      <c r="L175" s="56"/>
    </row>
    <row r="176" spans="1:12" s="1905" customFormat="1">
      <c r="A176" s="249"/>
      <c r="D176" s="1906"/>
      <c r="K176" s="56"/>
      <c r="L176" s="56"/>
    </row>
    <row r="177" spans="1:12" s="1905" customFormat="1">
      <c r="A177" s="249"/>
      <c r="D177" s="1906"/>
      <c r="K177" s="56"/>
      <c r="L177" s="56"/>
    </row>
    <row r="178" spans="1:12" s="1905" customFormat="1">
      <c r="A178" s="249"/>
      <c r="D178" s="1906"/>
      <c r="K178" s="56"/>
      <c r="L178" s="56"/>
    </row>
    <row r="179" spans="1:12" s="1905" customFormat="1">
      <c r="A179" s="249"/>
      <c r="D179" s="1906"/>
      <c r="K179" s="56"/>
      <c r="L179" s="56"/>
    </row>
    <row r="180" spans="1:12" s="1905" customFormat="1">
      <c r="A180" s="249"/>
      <c r="D180" s="1906"/>
      <c r="K180" s="56"/>
      <c r="L180" s="56"/>
    </row>
    <row r="181" spans="1:12" s="1905" customFormat="1">
      <c r="A181" s="249"/>
      <c r="D181" s="1906"/>
      <c r="K181" s="56"/>
      <c r="L181" s="56"/>
    </row>
    <row r="182" spans="1:12" s="1905" customFormat="1">
      <c r="A182" s="249"/>
      <c r="D182" s="1906"/>
      <c r="K182" s="56"/>
      <c r="L182" s="56"/>
    </row>
    <row r="183" spans="1:12" s="1905" customFormat="1">
      <c r="A183" s="249"/>
      <c r="D183" s="1906"/>
      <c r="K183" s="56"/>
      <c r="L183" s="56"/>
    </row>
    <row r="184" spans="1:12" s="1905" customFormat="1">
      <c r="A184" s="249"/>
      <c r="D184" s="1906"/>
      <c r="K184" s="56"/>
      <c r="L184" s="56"/>
    </row>
    <row r="185" spans="1:12" s="1905" customFormat="1">
      <c r="A185" s="249"/>
      <c r="D185" s="1906"/>
      <c r="K185" s="56"/>
      <c r="L185" s="56"/>
    </row>
    <row r="186" spans="1:12" s="1905" customFormat="1">
      <c r="A186" s="249"/>
      <c r="D186" s="1906"/>
      <c r="K186" s="56"/>
      <c r="L186" s="56"/>
    </row>
    <row r="187" spans="1:12" s="1905" customFormat="1">
      <c r="A187" s="249"/>
      <c r="D187" s="1906"/>
      <c r="K187" s="56"/>
      <c r="L187" s="56"/>
    </row>
    <row r="188" spans="1:12" s="1905" customFormat="1">
      <c r="A188" s="249"/>
      <c r="D188" s="1906"/>
      <c r="K188" s="56"/>
      <c r="L188" s="56"/>
    </row>
    <row r="189" spans="1:12" s="1905" customFormat="1">
      <c r="A189" s="249"/>
      <c r="D189" s="1906"/>
      <c r="K189" s="56"/>
      <c r="L189" s="56"/>
    </row>
    <row r="190" spans="1:12" s="1905" customFormat="1">
      <c r="A190" s="249"/>
      <c r="D190" s="1906"/>
      <c r="K190" s="56"/>
      <c r="L190" s="56"/>
    </row>
    <row r="191" spans="1:12" s="1905" customFormat="1">
      <c r="A191" s="249"/>
      <c r="D191" s="1906"/>
      <c r="K191" s="56"/>
      <c r="L191" s="56"/>
    </row>
    <row r="192" spans="1:12" s="1905" customFormat="1">
      <c r="A192" s="249"/>
      <c r="D192" s="1906"/>
      <c r="K192" s="56"/>
      <c r="L192" s="56"/>
    </row>
  </sheetData>
  <sheetProtection password="CEE9"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21"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21"/>
  </cols>
  <sheetData>
    <row r="1" spans="1:18" s="3115" customFormat="1" ht="19.5" thickBot="1">
      <c r="A1" s="3487" t="s">
        <v>1651</v>
      </c>
      <c r="B1" s="3488"/>
      <c r="C1" s="3488"/>
      <c r="D1" s="3488"/>
      <c r="E1" s="3488"/>
      <c r="F1" s="3488"/>
      <c r="G1" s="3488"/>
      <c r="H1" s="3110"/>
      <c r="I1" s="3111"/>
      <c r="J1" s="3112"/>
      <c r="K1" s="3110"/>
      <c r="L1" s="3111"/>
      <c r="M1" s="3112"/>
      <c r="N1" s="3110"/>
      <c r="O1" s="3111"/>
      <c r="P1" s="3112"/>
      <c r="Q1" s="3113"/>
      <c r="R1" s="3114"/>
    </row>
    <row r="2" spans="1:18" ht="14.25" thickBot="1">
      <c r="A2" s="3116"/>
      <c r="B2" s="3117"/>
      <c r="C2" s="3118" t="s">
        <v>1652</v>
      </c>
      <c r="D2" s="3119"/>
      <c r="E2" s="3116"/>
      <c r="F2" s="3120"/>
      <c r="G2" s="3118" t="s">
        <v>1653</v>
      </c>
      <c r="H2" s="3121"/>
      <c r="I2" s="3121"/>
      <c r="J2" s="3121"/>
      <c r="K2" s="3121"/>
      <c r="L2" s="3121"/>
      <c r="M2" s="3121"/>
      <c r="N2" s="3121"/>
      <c r="O2" s="3121"/>
      <c r="P2" s="3121"/>
      <c r="Q2" s="3121"/>
      <c r="R2" s="3121"/>
    </row>
    <row r="3" spans="1:18" ht="40.5">
      <c r="A3" s="3122" t="s">
        <v>1654</v>
      </c>
      <c r="B3" s="3123" t="s">
        <v>1641</v>
      </c>
      <c r="C3" s="3124" t="s">
        <v>2886</v>
      </c>
      <c r="D3" s="3125"/>
      <c r="E3" s="3126" t="s">
        <v>1654</v>
      </c>
      <c r="F3" s="3127" t="s">
        <v>1642</v>
      </c>
      <c r="G3" s="3128" t="s">
        <v>2885</v>
      </c>
      <c r="H3" s="3121"/>
      <c r="I3" s="3121"/>
      <c r="J3" s="3121"/>
      <c r="K3" s="3121"/>
      <c r="L3" s="3121"/>
      <c r="M3" s="3121"/>
      <c r="N3" s="3121"/>
      <c r="O3" s="3121"/>
      <c r="P3" s="3121"/>
      <c r="Q3" s="3121"/>
      <c r="R3" s="3121"/>
    </row>
    <row r="4" spans="1:18" ht="67.5">
      <c r="A4" s="3126"/>
      <c r="B4" s="3129" t="s">
        <v>1655</v>
      </c>
      <c r="C4" s="3371" t="s">
        <v>3166</v>
      </c>
      <c r="D4" s="3125"/>
      <c r="E4" s="3130"/>
      <c r="F4" s="3131" t="s">
        <v>1656</v>
      </c>
      <c r="G4" s="3132" t="s">
        <v>2882</v>
      </c>
      <c r="H4" s="3121"/>
      <c r="I4" s="3121"/>
      <c r="J4" s="3121"/>
      <c r="K4" s="3121"/>
      <c r="L4" s="3121"/>
      <c r="M4" s="3121"/>
      <c r="N4" s="3121"/>
      <c r="O4" s="3121"/>
      <c r="P4" s="3121"/>
      <c r="Q4" s="3121"/>
      <c r="R4" s="3121"/>
    </row>
    <row r="5" spans="1:18" ht="54">
      <c r="A5" s="3126"/>
      <c r="B5" s="3129" t="s">
        <v>1657</v>
      </c>
      <c r="C5" s="3371" t="s">
        <v>3167</v>
      </c>
      <c r="D5" s="3125"/>
      <c r="E5" s="3130"/>
      <c r="F5" s="3129" t="s">
        <v>2525</v>
      </c>
      <c r="G5" s="3132" t="s">
        <v>2883</v>
      </c>
      <c r="H5" s="3121"/>
      <c r="I5" s="3121"/>
      <c r="J5" s="3121"/>
      <c r="K5" s="3121"/>
      <c r="L5" s="3121"/>
      <c r="M5" s="3121"/>
      <c r="N5" s="3121"/>
      <c r="O5" s="3121"/>
      <c r="P5" s="3121"/>
      <c r="Q5" s="3121"/>
      <c r="R5" s="3121"/>
    </row>
    <row r="6" spans="1:18" ht="67.5">
      <c r="A6" s="3126"/>
      <c r="B6" s="3129" t="s">
        <v>1643</v>
      </c>
      <c r="C6" s="3372" t="s">
        <v>3162</v>
      </c>
      <c r="D6" s="3125"/>
      <c r="E6" s="3130"/>
      <c r="F6" s="3129" t="s">
        <v>2526</v>
      </c>
      <c r="G6" s="3132" t="s">
        <v>2881</v>
      </c>
      <c r="H6" s="3121"/>
      <c r="I6" s="3121"/>
      <c r="J6" s="3121"/>
      <c r="K6" s="3121"/>
      <c r="L6" s="3121"/>
      <c r="M6" s="3121"/>
      <c r="N6" s="3121"/>
      <c r="O6" s="3121"/>
      <c r="P6" s="3121"/>
      <c r="Q6" s="3121"/>
      <c r="R6" s="3121"/>
    </row>
    <row r="7" spans="1:18" ht="149.25" thickBot="1">
      <c r="A7" s="3126"/>
      <c r="B7" s="3129" t="s">
        <v>2525</v>
      </c>
      <c r="C7" s="3372" t="s">
        <v>3165</v>
      </c>
      <c r="D7" s="3133"/>
      <c r="E7" s="3134"/>
      <c r="F7" s="3135" t="s">
        <v>1658</v>
      </c>
      <c r="G7" s="3136" t="s">
        <v>2884</v>
      </c>
      <c r="H7" s="3121"/>
      <c r="I7" s="3121"/>
      <c r="J7" s="3121"/>
      <c r="K7" s="3121"/>
      <c r="L7" s="3121"/>
      <c r="M7" s="3121"/>
      <c r="N7" s="3121"/>
      <c r="O7" s="3121"/>
      <c r="P7" s="3121"/>
      <c r="Q7" s="3121"/>
      <c r="R7" s="3121"/>
    </row>
    <row r="8" spans="1:18" ht="67.5">
      <c r="A8" s="3126"/>
      <c r="B8" s="3129" t="s">
        <v>2526</v>
      </c>
      <c r="C8" s="3372" t="s">
        <v>3164</v>
      </c>
      <c r="D8" s="3133"/>
      <c r="E8" s="3133"/>
      <c r="F8" s="3137"/>
      <c r="G8" s="3137"/>
      <c r="H8" s="3121"/>
      <c r="I8" s="3121"/>
      <c r="J8" s="3121"/>
      <c r="K8" s="3121"/>
      <c r="L8" s="3121"/>
      <c r="M8" s="3121"/>
      <c r="N8" s="3121"/>
      <c r="O8" s="3121"/>
      <c r="P8" s="3121"/>
      <c r="Q8" s="3121"/>
      <c r="R8" s="3121"/>
    </row>
    <row r="9" spans="1:18" ht="81">
      <c r="A9" s="3126"/>
      <c r="B9" s="3129" t="s">
        <v>1644</v>
      </c>
      <c r="C9" s="3371" t="s">
        <v>3163</v>
      </c>
      <c r="D9" s="3125"/>
      <c r="E9" s="3133"/>
      <c r="F9" s="3137"/>
      <c r="G9" s="3137"/>
      <c r="H9" s="3121"/>
      <c r="I9" s="3121"/>
      <c r="J9" s="3121"/>
      <c r="K9" s="3121"/>
      <c r="L9" s="3121"/>
      <c r="M9" s="3121"/>
      <c r="N9" s="3121"/>
      <c r="O9" s="3121"/>
      <c r="P9" s="3121"/>
      <c r="Q9" s="3121"/>
      <c r="R9" s="3121"/>
    </row>
    <row r="10" spans="1:18" s="3143" customFormat="1" ht="14.25" thickBot="1">
      <c r="A10" s="3138"/>
      <c r="B10" s="3139" t="s">
        <v>1659</v>
      </c>
      <c r="C10" s="3373" t="s">
        <v>3168</v>
      </c>
      <c r="D10" s="3125"/>
      <c r="E10" s="3125"/>
      <c r="F10" s="3137"/>
      <c r="G10" s="3137"/>
      <c r="H10" s="3140"/>
      <c r="I10" s="3141"/>
      <c r="J10" s="3142"/>
      <c r="K10" s="3140"/>
      <c r="L10" s="3141"/>
      <c r="M10" s="3142"/>
      <c r="N10" s="3140"/>
      <c r="O10" s="3141"/>
      <c r="P10" s="3142"/>
      <c r="Q10" s="3140"/>
      <c r="R10" s="3141"/>
    </row>
    <row r="11" spans="1:18" s="3143" customFormat="1">
      <c r="A11" s="3144"/>
      <c r="B11" s="3133"/>
      <c r="C11" s="3125"/>
      <c r="D11" s="3125"/>
      <c r="E11" s="3125"/>
      <c r="F11" s="3133"/>
      <c r="G11" s="3145"/>
      <c r="H11" s="3140"/>
      <c r="I11" s="3141"/>
      <c r="J11" s="3142"/>
      <c r="K11" s="3140"/>
      <c r="L11" s="3141"/>
      <c r="M11" s="3142"/>
      <c r="N11" s="3140"/>
      <c r="O11" s="3141"/>
      <c r="P11" s="3142"/>
      <c r="Q11" s="3140"/>
      <c r="R11" s="3141"/>
    </row>
    <row r="12" spans="1:18" s="3115" customFormat="1" ht="18.75">
      <c r="A12" s="3144"/>
      <c r="B12" s="3133"/>
      <c r="C12" s="3125"/>
      <c r="D12" s="3146"/>
      <c r="E12" s="3125"/>
      <c r="F12" s="3133"/>
      <c r="G12" s="3145"/>
      <c r="H12" s="3147"/>
      <c r="I12" s="3148"/>
      <c r="J12" s="3147"/>
      <c r="K12" s="3147"/>
      <c r="L12" s="3149"/>
      <c r="M12" s="3147"/>
      <c r="N12" s="3150"/>
      <c r="O12" s="3151"/>
      <c r="P12" s="3152"/>
      <c r="Q12" s="3150"/>
      <c r="R12" s="3114"/>
    </row>
    <row r="13" spans="1:18" ht="19.5" thickBot="1">
      <c r="A13" s="3153" t="s">
        <v>1660</v>
      </c>
      <c r="B13" s="3146"/>
      <c r="C13" s="3146"/>
      <c r="D13" s="3119"/>
      <c r="E13" s="3146"/>
      <c r="F13" s="3146"/>
      <c r="G13" s="3146"/>
    </row>
    <row r="14" spans="1:18" ht="14.25" thickBot="1">
      <c r="A14" s="3158"/>
      <c r="B14" s="3158"/>
      <c r="C14" s="3159" t="s">
        <v>1652</v>
      </c>
      <c r="D14" s="3125"/>
      <c r="E14" s="3160"/>
      <c r="F14" s="3160"/>
      <c r="G14" s="3118" t="s">
        <v>1653</v>
      </c>
    </row>
    <row r="15" spans="1:18" ht="40.5">
      <c r="A15" s="3161" t="s">
        <v>1645</v>
      </c>
      <c r="B15" s="3162" t="s">
        <v>1641</v>
      </c>
      <c r="C15" s="3163" t="str">
        <f>C3</f>
        <v>估价对象周边居住用地比例、居住小区规模和社区发展完善程度，综合评价居住社区成熟度一般</v>
      </c>
      <c r="D15" s="3125"/>
      <c r="E15" s="3164" t="s">
        <v>1646</v>
      </c>
      <c r="F15" s="3162" t="s">
        <v>1661</v>
      </c>
      <c r="G15" s="3165" t="str">
        <f>G3</f>
        <v>估价对象位于XX开发区，园区建设成熟度XX，产业集聚程度XX</v>
      </c>
    </row>
    <row r="16" spans="1:18" ht="67.5">
      <c r="A16" s="3166"/>
      <c r="B16" s="3167" t="s">
        <v>1655</v>
      </c>
      <c r="C16" s="3168" t="str">
        <f>C4</f>
        <v>周边有万达广场（通州店）、华联商厦（新华大街店）、京客隆超市（东关店）、华联超市（新华大街店）等商业服务设施，分布较为集中，综合考虑商业繁华度较好</v>
      </c>
      <c r="D16" s="3125"/>
      <c r="E16" s="3169"/>
      <c r="F16" s="3170" t="s">
        <v>1656</v>
      </c>
      <c r="G16" s="3171" t="str">
        <f>G4</f>
        <v>估价对象周边道路状况、公共交通通达情况、停车便捷程度，综合评价交通便捷度较好</v>
      </c>
    </row>
    <row r="17" spans="1:7" ht="54">
      <c r="A17" s="3166"/>
      <c r="B17" s="3167" t="s">
        <v>1657</v>
      </c>
      <c r="C17" s="3168" t="str">
        <f>C5</f>
        <v>周边有京贸中心、东长安街写字楼、绿地中央广场（通州）、通州富力中心等多个办公楼项目，办公集聚程度较好。</v>
      </c>
      <c r="D17" s="3133"/>
      <c r="E17" s="3169"/>
      <c r="F17" s="3170" t="s">
        <v>1662</v>
      </c>
      <c r="G17" s="3172"/>
    </row>
    <row r="18" spans="1:7" ht="67.5">
      <c r="A18" s="3166"/>
      <c r="B18" s="3170" t="s">
        <v>1643</v>
      </c>
      <c r="C18" s="3171" t="str">
        <f>C6</f>
        <v>周边有通322路、342路、589路、667路、804路、808路、通19路、通41路、通62路等多条公交线路通过，距地铁6号线（北运河西站）约1公里，综合评价交通便捷度较好</v>
      </c>
      <c r="D18" s="3133"/>
      <c r="E18" s="3169"/>
      <c r="F18" s="3170" t="s">
        <v>1658</v>
      </c>
      <c r="G18" s="3171" t="str">
        <f>G7</f>
        <v>该园区内是否有污染型企业，绿化情况，卫生条件，整体环境状况判断</v>
      </c>
    </row>
    <row r="19" spans="1:7" ht="27">
      <c r="A19" s="3166"/>
      <c r="B19" s="3170" t="s">
        <v>1647</v>
      </c>
      <c r="C19" s="3172"/>
      <c r="D19" s="3125"/>
      <c r="E19" s="3169"/>
      <c r="F19" s="3129" t="s">
        <v>2525</v>
      </c>
      <c r="G19" s="3171" t="str">
        <f>G5</f>
        <v>估价对象所在区域公共配套设施齐备情况</v>
      </c>
    </row>
    <row r="20" spans="1:7" ht="81">
      <c r="A20" s="3166"/>
      <c r="B20" s="3170" t="s">
        <v>1648</v>
      </c>
      <c r="C20" s="3168" t="str">
        <f>C9</f>
        <v>周边2公里内有自然水域北运河、潮白河，有运河奥体公园、西海子公园等自然公园，绿化条件好；周边2公里内有运河文化广场、北京物资学院（乔庄校区）等人文场所。综合考虑自然环境与人文环境好。</v>
      </c>
      <c r="D20" s="3133"/>
      <c r="E20" s="3169"/>
      <c r="F20" s="3129" t="s">
        <v>2526</v>
      </c>
      <c r="G20" s="3171" t="str">
        <f>G6</f>
        <v>估价对象所在区域基础设施水平</v>
      </c>
    </row>
    <row r="21" spans="1:7" ht="148.5">
      <c r="A21" s="3166"/>
      <c r="B21" s="3129" t="s">
        <v>2525</v>
      </c>
      <c r="C21" s="3171"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25"/>
      <c r="E21" s="3169"/>
      <c r="F21" s="3170" t="s">
        <v>1649</v>
      </c>
      <c r="G21" s="3173"/>
    </row>
    <row r="22" spans="1:7" ht="67.5">
      <c r="A22" s="3166"/>
      <c r="B22" s="3129" t="s">
        <v>2526</v>
      </c>
      <c r="C22" s="3171" t="str">
        <f>C8</f>
        <v>估价对象所在区域内基础设施配套条件达到“七通”（即通路、通上水、通下水、通电、通讯、通燃气、通热力），能够保证工作、生产需要，基础设施配套完善度好。</v>
      </c>
      <c r="D22" s="3125"/>
      <c r="E22" s="3169"/>
      <c r="F22" s="3170" t="s">
        <v>1659</v>
      </c>
      <c r="G22" s="3172"/>
    </row>
    <row r="23" spans="1:7" ht="15" thickBot="1">
      <c r="A23" s="3166"/>
      <c r="B23" s="3170" t="s">
        <v>1649</v>
      </c>
      <c r="C23" s="3173"/>
      <c r="E23" s="3174"/>
      <c r="F23" s="3175" t="s">
        <v>1663</v>
      </c>
      <c r="G23" s="3176"/>
    </row>
    <row r="24" spans="1:7" ht="14.25" thickBot="1">
      <c r="A24" s="3177"/>
      <c r="B24" s="3175" t="s">
        <v>1650</v>
      </c>
      <c r="C24" s="3178" t="str">
        <f>C10</f>
        <v>城市主干道——新华东街</v>
      </c>
      <c r="E24" s="3179"/>
      <c r="F24" s="3179"/>
      <c r="G24" s="3180"/>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82" customWidth="1"/>
    <col min="2" max="16384" width="14.625" style="3182"/>
  </cols>
  <sheetData>
    <row r="1" spans="1:10" ht="16.5">
      <c r="A1" s="3181" t="s">
        <v>2821</v>
      </c>
      <c r="B1" s="3181">
        <f>SUM(B14:B23)</f>
        <v>30803.628000000001</v>
      </c>
      <c r="C1" s="3190"/>
      <c r="D1" s="3190"/>
      <c r="E1" s="3190"/>
      <c r="F1" s="3190"/>
      <c r="G1" s="3191"/>
      <c r="H1" s="3191"/>
      <c r="I1" s="3191"/>
      <c r="J1" s="3191"/>
    </row>
    <row r="2" spans="1:10" ht="16.5">
      <c r="A2" s="3181" t="s">
        <v>2822</v>
      </c>
      <c r="B2" s="3181">
        <f>SUM(C14:C23)</f>
        <v>5500.65</v>
      </c>
      <c r="C2" s="3190"/>
      <c r="D2" s="3190"/>
      <c r="E2" s="3190"/>
      <c r="F2" s="3190"/>
      <c r="G2" s="3191"/>
      <c r="H2" s="3191"/>
      <c r="I2" s="3191"/>
      <c r="J2" s="3191"/>
    </row>
    <row r="3" spans="1:10" ht="16.5">
      <c r="A3" s="3181" t="s">
        <v>2823</v>
      </c>
      <c r="B3" s="3183">
        <f>项目基本情况!D3</f>
        <v>44424</v>
      </c>
      <c r="C3" s="3190"/>
      <c r="D3" s="3190"/>
      <c r="E3" s="3190"/>
      <c r="F3" s="3190"/>
      <c r="G3" s="3191"/>
      <c r="H3" s="3191"/>
      <c r="I3" s="3191"/>
      <c r="J3" s="3191"/>
    </row>
    <row r="4" spans="1:10" ht="33">
      <c r="A4" s="3181" t="s">
        <v>2824</v>
      </c>
      <c r="B4" s="3181" t="s">
        <v>2825</v>
      </c>
      <c r="C4" s="3181" t="s">
        <v>2826</v>
      </c>
      <c r="D4" s="3181" t="s">
        <v>2827</v>
      </c>
      <c r="E4" s="3190"/>
      <c r="F4" s="3190"/>
      <c r="G4" s="3191"/>
      <c r="H4" s="3191"/>
      <c r="I4" s="3191"/>
      <c r="J4" s="3191"/>
    </row>
    <row r="5" spans="1:10" ht="16.5">
      <c r="A5" s="3181" t="s">
        <v>2828</v>
      </c>
      <c r="B5" s="3181">
        <f ca="1">SUM(D14:D23)</f>
        <v>19931</v>
      </c>
      <c r="C5" s="3181">
        <f ca="1">ROUND(B5*10000/$B$1,0)</f>
        <v>6470</v>
      </c>
      <c r="D5" s="3181">
        <f ca="1">ROUND(B5*10000/$B$2,0)</f>
        <v>36234</v>
      </c>
      <c r="E5" s="3190"/>
      <c r="F5" s="3190"/>
      <c r="G5" s="3191"/>
      <c r="H5" s="3191"/>
      <c r="I5" s="3191"/>
      <c r="J5" s="3191"/>
    </row>
    <row r="6" spans="1:10" ht="16.5">
      <c r="A6" s="3181" t="s">
        <v>2829</v>
      </c>
      <c r="B6" s="3181">
        <f>SUM(G14:G23)</f>
        <v>0</v>
      </c>
      <c r="C6" s="3181">
        <f t="shared" ref="C6:C8" si="0">ROUND(B6*10000/$B$1,0)</f>
        <v>0</v>
      </c>
      <c r="D6" s="3181">
        <f t="shared" ref="D6:D8" si="1">ROUND(B6*10000/$B$2,0)</f>
        <v>0</v>
      </c>
      <c r="E6" s="3190"/>
      <c r="F6" s="3190"/>
      <c r="G6" s="3191"/>
      <c r="H6" s="3191"/>
      <c r="I6" s="3191"/>
      <c r="J6" s="3191"/>
    </row>
    <row r="7" spans="1:10" ht="16.5">
      <c r="A7" s="3181" t="s">
        <v>2830</v>
      </c>
      <c r="B7" s="3181">
        <f>SUM(H14:H23)</f>
        <v>0</v>
      </c>
      <c r="C7" s="3181">
        <f t="shared" si="0"/>
        <v>0</v>
      </c>
      <c r="D7" s="3181">
        <f t="shared" si="1"/>
        <v>0</v>
      </c>
      <c r="E7" s="3190"/>
      <c r="F7" s="3190"/>
      <c r="G7" s="3191"/>
      <c r="H7" s="3191"/>
      <c r="I7" s="3191"/>
      <c r="J7" s="3191"/>
    </row>
    <row r="8" spans="1:10" ht="16.5">
      <c r="A8" s="3181" t="s">
        <v>2831</v>
      </c>
      <c r="B8" s="3181">
        <f>SUM(I14:I23)</f>
        <v>0</v>
      </c>
      <c r="C8" s="3181">
        <f t="shared" si="0"/>
        <v>0</v>
      </c>
      <c r="D8" s="3181">
        <f t="shared" si="1"/>
        <v>0</v>
      </c>
      <c r="E8" s="3190"/>
      <c r="F8" s="3190"/>
      <c r="G8" s="3191"/>
      <c r="H8" s="3191"/>
      <c r="I8" s="3191"/>
      <c r="J8" s="3191"/>
    </row>
    <row r="9" spans="1:10" ht="16.5">
      <c r="A9" s="3181" t="s">
        <v>2832</v>
      </c>
      <c r="B9" s="3189"/>
      <c r="C9" s="3190"/>
      <c r="D9" s="3190"/>
      <c r="E9" s="3190"/>
      <c r="F9" s="3190"/>
      <c r="G9" s="3191"/>
      <c r="H9" s="3191"/>
      <c r="I9" s="3191"/>
      <c r="J9" s="3191"/>
    </row>
    <row r="10" spans="1:10" ht="16.5">
      <c r="A10" s="3181" t="s">
        <v>2833</v>
      </c>
      <c r="B10" s="3189"/>
      <c r="C10" s="3190"/>
      <c r="D10" s="3190"/>
      <c r="E10" s="3190"/>
      <c r="F10" s="3190"/>
      <c r="G10" s="3191"/>
      <c r="H10" s="3191"/>
      <c r="I10" s="3191"/>
      <c r="J10" s="3191"/>
    </row>
    <row r="11" spans="1:10" ht="16.5">
      <c r="A11" s="3181" t="s">
        <v>2850</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2849</v>
      </c>
      <c r="B13" s="3185" t="s">
        <v>2821</v>
      </c>
      <c r="C13" s="3185" t="s">
        <v>2822</v>
      </c>
      <c r="D13" s="3185" t="s">
        <v>2834</v>
      </c>
      <c r="E13" s="3181" t="s">
        <v>2848</v>
      </c>
      <c r="F13" s="3181" t="s">
        <v>2827</v>
      </c>
      <c r="G13" s="3185" t="s">
        <v>2835</v>
      </c>
      <c r="H13" s="3185" t="s">
        <v>2836</v>
      </c>
      <c r="I13" s="3185" t="s">
        <v>2837</v>
      </c>
      <c r="J13" s="3191"/>
    </row>
    <row r="14" spans="1:10" ht="16.5">
      <c r="A14" s="3186" t="s">
        <v>2847</v>
      </c>
      <c r="B14" s="3187">
        <f>结果表!L38</f>
        <v>30803.628000000001</v>
      </c>
      <c r="C14" s="3187">
        <f>结果表!K38</f>
        <v>5500.65</v>
      </c>
      <c r="D14" s="3187">
        <f ca="1">结果表!C42</f>
        <v>19931</v>
      </c>
      <c r="E14" s="3187">
        <f ca="1">ROUND(D14*10000/B14,0)</f>
        <v>6470</v>
      </c>
      <c r="F14" s="3187">
        <f ca="1">ROUND(D14*10000/C14,0)</f>
        <v>36234</v>
      </c>
      <c r="G14" s="3187" t="str">
        <f>结果表!C44</f>
        <v>——</v>
      </c>
      <c r="H14" s="3187" t="str">
        <f>结果表!C45</f>
        <v>——</v>
      </c>
      <c r="I14" s="3187" t="str">
        <f>结果表!C46</f>
        <v>——</v>
      </c>
      <c r="J14" s="3191"/>
    </row>
    <row r="15" spans="1:10" ht="16.5">
      <c r="A15" s="3186" t="s">
        <v>2838</v>
      </c>
      <c r="B15" s="3188"/>
      <c r="C15" s="3188"/>
      <c r="D15" s="3188"/>
      <c r="E15" s="3187" t="e">
        <f t="shared" ref="E15:E23" si="2">ROUND(D15*10000/B15,0)</f>
        <v>#DIV/0!</v>
      </c>
      <c r="F15" s="3187" t="e">
        <f t="shared" ref="F15:F23" si="3">ROUND(D15*10000/C15,0)</f>
        <v>#DIV/0!</v>
      </c>
      <c r="G15" s="2755"/>
      <c r="H15" s="2755"/>
      <c r="I15" s="3188"/>
      <c r="J15" s="3191"/>
    </row>
    <row r="16" spans="1:10" ht="16.5">
      <c r="A16" s="3186" t="s">
        <v>2839</v>
      </c>
      <c r="B16" s="3188"/>
      <c r="C16" s="3188"/>
      <c r="D16" s="3188"/>
      <c r="E16" s="3187" t="e">
        <f t="shared" si="2"/>
        <v>#DIV/0!</v>
      </c>
      <c r="F16" s="3187" t="e">
        <f t="shared" si="3"/>
        <v>#DIV/0!</v>
      </c>
      <c r="G16" s="2755"/>
      <c r="H16" s="2755"/>
      <c r="I16" s="3188"/>
      <c r="J16" s="3191"/>
    </row>
    <row r="17" spans="1:10" ht="16.5">
      <c r="A17" s="3186" t="s">
        <v>2840</v>
      </c>
      <c r="B17" s="3188"/>
      <c r="C17" s="3188"/>
      <c r="D17" s="3188"/>
      <c r="E17" s="3187" t="e">
        <f t="shared" si="2"/>
        <v>#DIV/0!</v>
      </c>
      <c r="F17" s="3187" t="e">
        <f t="shared" si="3"/>
        <v>#DIV/0!</v>
      </c>
      <c r="G17" s="2755"/>
      <c r="H17" s="2755"/>
      <c r="I17" s="3188"/>
      <c r="J17" s="3191"/>
    </row>
    <row r="18" spans="1:10" ht="16.5">
      <c r="A18" s="3186" t="s">
        <v>2841</v>
      </c>
      <c r="B18" s="3188"/>
      <c r="C18" s="3188"/>
      <c r="D18" s="3188"/>
      <c r="E18" s="3187" t="e">
        <f t="shared" si="2"/>
        <v>#DIV/0!</v>
      </c>
      <c r="F18" s="3187" t="e">
        <f t="shared" si="3"/>
        <v>#DIV/0!</v>
      </c>
      <c r="G18" s="3188"/>
      <c r="H18" s="3188"/>
      <c r="I18" s="3188"/>
      <c r="J18" s="3191"/>
    </row>
    <row r="19" spans="1:10" ht="16.5">
      <c r="A19" s="3186" t="s">
        <v>2842</v>
      </c>
      <c r="B19" s="3188"/>
      <c r="C19" s="3188"/>
      <c r="D19" s="3188"/>
      <c r="E19" s="3187" t="e">
        <f t="shared" si="2"/>
        <v>#DIV/0!</v>
      </c>
      <c r="F19" s="3187" t="e">
        <f t="shared" si="3"/>
        <v>#DIV/0!</v>
      </c>
      <c r="G19" s="3188"/>
      <c r="H19" s="3188"/>
      <c r="I19" s="3188"/>
      <c r="J19" s="3191"/>
    </row>
    <row r="20" spans="1:10" ht="16.5">
      <c r="A20" s="3186" t="s">
        <v>2843</v>
      </c>
      <c r="B20" s="3188"/>
      <c r="C20" s="3188"/>
      <c r="D20" s="3188"/>
      <c r="E20" s="3187" t="e">
        <f t="shared" si="2"/>
        <v>#DIV/0!</v>
      </c>
      <c r="F20" s="3187" t="e">
        <f t="shared" si="3"/>
        <v>#DIV/0!</v>
      </c>
      <c r="G20" s="3188"/>
      <c r="H20" s="3188"/>
      <c r="I20" s="3188"/>
      <c r="J20" s="3191"/>
    </row>
    <row r="21" spans="1:10" ht="16.5">
      <c r="A21" s="3186" t="s">
        <v>2844</v>
      </c>
      <c r="B21" s="3188"/>
      <c r="C21" s="3188"/>
      <c r="D21" s="3188"/>
      <c r="E21" s="3187" t="e">
        <f t="shared" si="2"/>
        <v>#DIV/0!</v>
      </c>
      <c r="F21" s="3187" t="e">
        <f t="shared" si="3"/>
        <v>#DIV/0!</v>
      </c>
      <c r="G21" s="3188"/>
      <c r="H21" s="3188"/>
      <c r="I21" s="3188"/>
      <c r="J21" s="3191"/>
    </row>
    <row r="22" spans="1:10" ht="16.5">
      <c r="A22" s="3186" t="s">
        <v>2845</v>
      </c>
      <c r="B22" s="3188"/>
      <c r="C22" s="3188"/>
      <c r="D22" s="3188"/>
      <c r="E22" s="3187" t="e">
        <f t="shared" si="2"/>
        <v>#DIV/0!</v>
      </c>
      <c r="F22" s="3187" t="e">
        <f t="shared" si="3"/>
        <v>#DIV/0!</v>
      </c>
      <c r="G22" s="3188"/>
      <c r="H22" s="3188"/>
      <c r="I22" s="3188"/>
      <c r="J22" s="3191"/>
    </row>
    <row r="23" spans="1:10" ht="16.5">
      <c r="A23" s="3186" t="s">
        <v>2846</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sheetPr>
    <tabColor rgb="FFFF0000"/>
  </sheetPr>
  <dimension ref="A1:D10"/>
  <sheetViews>
    <sheetView workbookViewId="0">
      <selection sqref="A1:D1"/>
    </sheetView>
  </sheetViews>
  <sheetFormatPr defaultRowHeight="13.5"/>
  <cols>
    <col min="1" max="1" width="17.75" customWidth="1"/>
    <col min="2" max="2" width="16.625" customWidth="1"/>
    <col min="3" max="3" width="16.5" customWidth="1"/>
    <col min="4" max="4" width="23.75" customWidth="1"/>
  </cols>
  <sheetData>
    <row r="1" spans="1:4" ht="45" customHeight="1">
      <c r="A1" s="3489" t="s">
        <v>3073</v>
      </c>
      <c r="B1" s="3489"/>
      <c r="C1" s="3489"/>
      <c r="D1" s="3489"/>
    </row>
    <row r="2" spans="1:4" ht="28.5">
      <c r="A2" s="3329"/>
      <c r="B2" s="3329" t="s">
        <v>3041</v>
      </c>
      <c r="C2" s="3329" t="s">
        <v>3042</v>
      </c>
      <c r="D2" s="3329" t="s">
        <v>3043</v>
      </c>
    </row>
    <row r="3" spans="1:4" ht="39" customHeight="1">
      <c r="A3" s="3329" t="s">
        <v>3044</v>
      </c>
      <c r="B3" s="3329">
        <f ca="1">土储要求测算表!J11</f>
        <v>14380</v>
      </c>
      <c r="C3" s="3329" t="s">
        <v>3045</v>
      </c>
      <c r="D3" s="3329" t="s">
        <v>3045</v>
      </c>
    </row>
    <row r="4" spans="1:4" ht="39" customHeight="1">
      <c r="A4" s="3329" t="s">
        <v>3046</v>
      </c>
      <c r="B4" s="3329">
        <f ca="1">土储要求测算表!J12</f>
        <v>12940</v>
      </c>
      <c r="C4" s="3329">
        <f>土储要求测算表!H9</f>
        <v>15401.814</v>
      </c>
      <c r="D4" s="3329">
        <f ca="1">ROUND(B4*C4/10000,2)</f>
        <v>19929.95</v>
      </c>
    </row>
    <row r="5" spans="1:4" ht="14.25">
      <c r="A5" s="3329" t="s">
        <v>3047</v>
      </c>
      <c r="B5" s="3329" t="s">
        <v>3048</v>
      </c>
      <c r="C5" s="3329">
        <f>C4</f>
        <v>15401.814</v>
      </c>
      <c r="D5" s="3330">
        <f ca="1">D4</f>
        <v>19929.95</v>
      </c>
    </row>
    <row r="6" spans="1:4" ht="14.25">
      <c r="A6" s="3331"/>
      <c r="B6" s="3331"/>
      <c r="C6" s="3331"/>
      <c r="D6" s="3331"/>
    </row>
    <row r="7" spans="1:4" ht="28.5">
      <c r="A7" s="3329"/>
      <c r="B7" s="3329" t="s">
        <v>3049</v>
      </c>
      <c r="C7" s="3329" t="s">
        <v>3050</v>
      </c>
      <c r="D7" s="3329" t="s">
        <v>3043</v>
      </c>
    </row>
    <row r="8" spans="1:4" ht="28.5">
      <c r="A8" s="3329" t="s">
        <v>3052</v>
      </c>
      <c r="B8" s="3329">
        <f ca="1">ROUND(B3*0.25,0)</f>
        <v>3595</v>
      </c>
      <c r="C8" s="3329" t="str">
        <f>C3</f>
        <v>——</v>
      </c>
      <c r="D8" s="3329" t="str">
        <f>D3</f>
        <v>——</v>
      </c>
    </row>
    <row r="9" spans="1:4" ht="28.5">
      <c r="A9" s="3329" t="s">
        <v>3053</v>
      </c>
      <c r="B9" s="3329">
        <f ca="1">ROUND(B4*0.25,0)</f>
        <v>3235</v>
      </c>
      <c r="C9" s="3329">
        <f>C4</f>
        <v>15401.814</v>
      </c>
      <c r="D9" s="3329">
        <f ca="1">ROUND(B9*C9/10000,2)</f>
        <v>4982.49</v>
      </c>
    </row>
    <row r="10" spans="1:4" ht="28.5">
      <c r="A10" s="3329" t="s">
        <v>3051</v>
      </c>
      <c r="B10" s="3329" t="s">
        <v>3048</v>
      </c>
      <c r="C10" s="3329">
        <f>C9</f>
        <v>15401.814</v>
      </c>
      <c r="D10" s="3330">
        <f ca="1">D9</f>
        <v>4982.49</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tabColor rgb="FFFF0000"/>
  </sheetPr>
  <dimension ref="A1:P20"/>
  <sheetViews>
    <sheetView tabSelected="1" workbookViewId="0">
      <selection activeCell="B9" sqref="B9"/>
    </sheetView>
  </sheetViews>
  <sheetFormatPr defaultColWidth="9" defaultRowHeight="15.75"/>
  <cols>
    <col min="1" max="1" width="10.75" style="3326" customWidth="1"/>
    <col min="2" max="2" width="7.5" style="3326" customWidth="1"/>
    <col min="3" max="3" width="9" style="3326" customWidth="1"/>
    <col min="4" max="4" width="6.125" style="3326" customWidth="1"/>
    <col min="5" max="5" width="7.625" style="3326" customWidth="1"/>
    <col min="6" max="6" width="7.75" style="3326" customWidth="1"/>
    <col min="7" max="7" width="6.125" style="3326" customWidth="1"/>
    <col min="8" max="8" width="9.875" style="3326" customWidth="1"/>
    <col min="9" max="9" width="14.5" style="3327" customWidth="1"/>
    <col min="10" max="10" width="8.5" style="3327" customWidth="1"/>
    <col min="11" max="11" width="7.75" style="3328" customWidth="1"/>
    <col min="12" max="14" width="12.5" style="3326" customWidth="1"/>
    <col min="15" max="15" width="5.625" style="3326" customWidth="1"/>
    <col min="16" max="16384" width="9" style="3326"/>
  </cols>
  <sheetData>
    <row r="1" spans="1:16" s="3281" customFormat="1" ht="14.25">
      <c r="A1" s="3490" t="s">
        <v>3172</v>
      </c>
      <c r="B1" s="3490"/>
      <c r="C1" s="3490"/>
      <c r="D1" s="3490"/>
      <c r="E1" s="3490"/>
      <c r="F1" s="3490"/>
      <c r="G1" s="3490"/>
      <c r="H1" s="3490"/>
      <c r="I1" s="3491"/>
      <c r="J1" s="3490"/>
      <c r="K1" s="3491"/>
    </row>
    <row r="2" spans="1:16" s="3281" customFormat="1" ht="36">
      <c r="A2" s="3282" t="s">
        <v>2996</v>
      </c>
      <c r="B2" s="3283" t="s">
        <v>2997</v>
      </c>
      <c r="C2" s="3284" t="s">
        <v>2998</v>
      </c>
      <c r="D2" s="3285" t="s">
        <v>2999</v>
      </c>
      <c r="E2" s="3285" t="s">
        <v>3000</v>
      </c>
      <c r="F2" s="3285" t="s">
        <v>3001</v>
      </c>
      <c r="G2" s="3285" t="s">
        <v>3002</v>
      </c>
      <c r="H2" s="3285" t="s">
        <v>3003</v>
      </c>
      <c r="I2" s="3285" t="s">
        <v>3004</v>
      </c>
      <c r="J2" s="3286" t="s">
        <v>3005</v>
      </c>
      <c r="K2" s="3287" t="s">
        <v>3006</v>
      </c>
    </row>
    <row r="3" spans="1:16" s="3293" customFormat="1" ht="10.5">
      <c r="A3" s="3285" t="s">
        <v>3007</v>
      </c>
      <c r="B3" s="3288">
        <f>基准地价商业!C6</f>
        <v>9300</v>
      </c>
      <c r="C3" s="3289">
        <f>基准地价商业!C7</f>
        <v>1</v>
      </c>
      <c r="D3" s="3285">
        <f>基准地价商业!C16</f>
        <v>-56</v>
      </c>
      <c r="E3" s="3290">
        <f>基准地价商业!C18</f>
        <v>1.1000000000000001</v>
      </c>
      <c r="F3" s="3290">
        <f>基准地价商业!C19</f>
        <v>1.3906000000000001</v>
      </c>
      <c r="G3" s="3290">
        <f ca="1">基准地价商业!C20</f>
        <v>1</v>
      </c>
      <c r="H3" s="3290">
        <f>基准地价商业!C21</f>
        <v>0.96160000000000001</v>
      </c>
      <c r="I3" s="3290">
        <f>基准地价商业!C24</f>
        <v>1.0431999999999999</v>
      </c>
      <c r="J3" s="3291">
        <f t="shared" ref="J3:J4" ca="1" si="0">ROUND((B3*C3+D3)*E3*F3*G3*H3*I3,0)</f>
        <v>14185</v>
      </c>
      <c r="K3" s="3292">
        <f t="shared" ref="K3:K9" ca="1" si="1">J3*0.25</f>
        <v>3546.25</v>
      </c>
    </row>
    <row r="4" spans="1:16" s="3293" customFormat="1" ht="10.5">
      <c r="A4" s="3285" t="s">
        <v>1665</v>
      </c>
      <c r="B4" s="3288">
        <f>基准地价办公!C6</f>
        <v>9270</v>
      </c>
      <c r="C4" s="3289">
        <v>1</v>
      </c>
      <c r="D4" s="3285">
        <f>基准地价办公!C16</f>
        <v>-56</v>
      </c>
      <c r="E4" s="3290">
        <f>基准地价办公!C18</f>
        <v>1</v>
      </c>
      <c r="F4" s="3290">
        <f>基准地价办公!C19</f>
        <v>1.3906000000000001</v>
      </c>
      <c r="G4" s="3290">
        <f ca="1">基准地价办公!C20</f>
        <v>1</v>
      </c>
      <c r="H4" s="3290">
        <f>基准地价办公!C21</f>
        <v>0.96399999999999997</v>
      </c>
      <c r="I4" s="3290">
        <f>基准地价办公!C24</f>
        <v>1.0448999999999999</v>
      </c>
      <c r="J4" s="3291">
        <f t="shared" ca="1" si="0"/>
        <v>12906</v>
      </c>
      <c r="K4" s="3292">
        <f t="shared" ca="1" si="1"/>
        <v>3226.5</v>
      </c>
      <c r="L4" s="3294"/>
      <c r="M4" s="3380"/>
      <c r="N4" s="3380"/>
    </row>
    <row r="5" spans="1:16" s="3281" customFormat="1" ht="14.25">
      <c r="A5" s="3492" t="s">
        <v>3032</v>
      </c>
      <c r="B5" s="3492"/>
      <c r="C5" s="3492"/>
      <c r="D5" s="3492"/>
      <c r="E5" s="3492"/>
      <c r="F5" s="3492"/>
      <c r="G5" s="3492"/>
      <c r="H5" s="3492"/>
      <c r="I5" s="3492"/>
      <c r="J5" s="3492" t="s">
        <v>3008</v>
      </c>
      <c r="K5" s="3492"/>
    </row>
    <row r="6" spans="1:16" s="3281" customFormat="1" ht="27">
      <c r="A6" s="3282" t="s">
        <v>3009</v>
      </c>
      <c r="B6" s="3284" t="s">
        <v>3010</v>
      </c>
      <c r="C6" s="3283" t="s">
        <v>3011</v>
      </c>
      <c r="D6" s="3283" t="s">
        <v>3012</v>
      </c>
      <c r="E6" s="3283" t="s">
        <v>3013</v>
      </c>
      <c r="F6" s="3283" t="s">
        <v>3014</v>
      </c>
      <c r="G6" s="3283" t="s">
        <v>3015</v>
      </c>
      <c r="H6" s="3283" t="s">
        <v>3016</v>
      </c>
      <c r="I6" s="3283" t="s">
        <v>3017</v>
      </c>
      <c r="J6" s="3295" t="s">
        <v>3005</v>
      </c>
      <c r="K6" s="3296" t="s">
        <v>3006</v>
      </c>
    </row>
    <row r="7" spans="1:16" s="3304" customFormat="1" ht="14.25" hidden="1">
      <c r="A7" s="3297" t="s">
        <v>3018</v>
      </c>
      <c r="B7" s="3298"/>
      <c r="C7" s="3299"/>
      <c r="D7" s="3300"/>
      <c r="E7" s="3300"/>
      <c r="F7" s="3300"/>
      <c r="G7" s="3300"/>
      <c r="H7" s="3299"/>
      <c r="I7" s="3301"/>
      <c r="J7" s="3302"/>
      <c r="K7" s="3303">
        <f t="shared" si="1"/>
        <v>0</v>
      </c>
    </row>
    <row r="8" spans="1:16" s="3304" customFormat="1" ht="14.25">
      <c r="A8" s="3297" t="s">
        <v>3019</v>
      </c>
      <c r="B8" s="3298">
        <f ca="1">剩余法商业!C8</f>
        <v>29459</v>
      </c>
      <c r="C8" s="3299">
        <v>0</v>
      </c>
      <c r="D8" s="3298">
        <v>0</v>
      </c>
      <c r="E8" s="3298">
        <v>0</v>
      </c>
      <c r="F8" s="3298">
        <v>0</v>
      </c>
      <c r="G8" s="3298">
        <v>0</v>
      </c>
      <c r="H8" s="3299">
        <v>0</v>
      </c>
      <c r="I8" s="3301">
        <f t="shared" ref="I8:I9" ca="1" si="2">B8</f>
        <v>29459</v>
      </c>
      <c r="J8" s="3305">
        <f ca="1">剩余法商业!C37</f>
        <v>14463</v>
      </c>
      <c r="K8" s="3303">
        <f t="shared" ca="1" si="1"/>
        <v>3615.75</v>
      </c>
    </row>
    <row r="9" spans="1:16" s="3281" customFormat="1" ht="14.25">
      <c r="A9" s="3283" t="s">
        <v>3020</v>
      </c>
      <c r="B9" s="3298">
        <f ca="1">剩余法办公!C8</f>
        <v>26164</v>
      </c>
      <c r="C9" s="3306">
        <f>H9</f>
        <v>15401.814</v>
      </c>
      <c r="D9" s="3300">
        <v>0</v>
      </c>
      <c r="E9" s="3306">
        <v>0</v>
      </c>
      <c r="F9" s="3306">
        <v>0</v>
      </c>
      <c r="G9" s="3306">
        <v>0</v>
      </c>
      <c r="H9" s="3306">
        <f>'数据-汇总表'!F20</f>
        <v>15401.814</v>
      </c>
      <c r="I9" s="3301">
        <f t="shared" ca="1" si="2"/>
        <v>26164</v>
      </c>
      <c r="J9" s="3305">
        <f ca="1">剩余法办公!C37</f>
        <v>12955</v>
      </c>
      <c r="K9" s="3303">
        <f t="shared" ca="1" si="1"/>
        <v>3238.75</v>
      </c>
    </row>
    <row r="10" spans="1:16" s="3281" customFormat="1" ht="22.5">
      <c r="A10" s="3307" t="s">
        <v>3021</v>
      </c>
      <c r="B10" s="3308" t="s">
        <v>3022</v>
      </c>
      <c r="C10" s="3308" t="s">
        <v>3023</v>
      </c>
      <c r="D10" s="3308" t="s">
        <v>3024</v>
      </c>
      <c r="E10" s="3308" t="s">
        <v>3023</v>
      </c>
      <c r="F10" s="3308"/>
      <c r="G10" s="3308"/>
      <c r="H10" s="3308" t="s">
        <v>3025</v>
      </c>
      <c r="I10" s="3308" t="s">
        <v>3026</v>
      </c>
      <c r="J10" s="3308" t="s">
        <v>3027</v>
      </c>
      <c r="K10" s="3308" t="s">
        <v>3006</v>
      </c>
    </row>
    <row r="11" spans="1:16" s="3281" customFormat="1" ht="14.25">
      <c r="A11" s="3283" t="s">
        <v>3028</v>
      </c>
      <c r="B11" s="3309">
        <f ca="1">J3</f>
        <v>14185</v>
      </c>
      <c r="C11" s="3394">
        <v>0.3</v>
      </c>
      <c r="D11" s="3310">
        <f ca="1">J8</f>
        <v>14463</v>
      </c>
      <c r="E11" s="3311">
        <f t="shared" ref="E11:E12" si="3">1-C11</f>
        <v>0.7</v>
      </c>
      <c r="F11" s="3300"/>
      <c r="G11" s="3311"/>
      <c r="H11" s="3306">
        <v>0</v>
      </c>
      <c r="I11" s="3312">
        <v>0</v>
      </c>
      <c r="J11" s="3305">
        <f ca="1">ROUND(B11*C11+D11*E11,0)</f>
        <v>14380</v>
      </c>
      <c r="K11" s="3313">
        <f ca="1">ROUND(J11*0.25,0)</f>
        <v>3595</v>
      </c>
      <c r="L11" s="3314"/>
      <c r="M11" s="3314">
        <v>12385</v>
      </c>
      <c r="N11" s="3314"/>
      <c r="O11" s="3314"/>
    </row>
    <row r="12" spans="1:16" s="3281" customFormat="1" ht="14.25">
      <c r="A12" s="3283" t="s">
        <v>1665</v>
      </c>
      <c r="B12" s="3309">
        <f ca="1">J4</f>
        <v>12906</v>
      </c>
      <c r="C12" s="3394">
        <v>0.3</v>
      </c>
      <c r="D12" s="3310">
        <f ca="1">J9</f>
        <v>12955</v>
      </c>
      <c r="E12" s="3311">
        <f t="shared" si="3"/>
        <v>0.7</v>
      </c>
      <c r="F12" s="3300"/>
      <c r="G12" s="3311"/>
      <c r="H12" s="3306">
        <f>H9</f>
        <v>15401.814</v>
      </c>
      <c r="I12" s="3312">
        <f ca="1">ROUND(J12*H12/10000,2)</f>
        <v>19929.95</v>
      </c>
      <c r="J12" s="3305">
        <f ca="1">ROUND(B12*C12+D12*E12,0)</f>
        <v>12940</v>
      </c>
      <c r="K12" s="3313">
        <f ca="1">ROUND(J12*0.25,0)</f>
        <v>3235</v>
      </c>
      <c r="L12" s="3377">
        <f ca="1">K12*H12/10000</f>
        <v>4982.4868289999995</v>
      </c>
      <c r="M12" s="3377">
        <v>11192</v>
      </c>
      <c r="N12" s="3377"/>
      <c r="P12" s="3315"/>
    </row>
    <row r="13" spans="1:16" s="3281" customFormat="1" ht="14.25">
      <c r="A13" s="3316" t="s">
        <v>3026</v>
      </c>
      <c r="B13" s="3317"/>
      <c r="C13" s="3317"/>
      <c r="D13" s="3317"/>
      <c r="E13" s="3317"/>
      <c r="F13" s="3317"/>
      <c r="G13" s="3317"/>
      <c r="H13" s="3317"/>
      <c r="I13" s="3318">
        <f ca="1">I12</f>
        <v>19929.95</v>
      </c>
      <c r="J13" s="3317"/>
      <c r="K13" s="3319"/>
    </row>
    <row r="14" spans="1:16" s="3281" customFormat="1" ht="14.25">
      <c r="A14" s="3285" t="s">
        <v>3029</v>
      </c>
      <c r="B14" s="3320"/>
      <c r="C14" s="3320"/>
      <c r="D14" s="3320"/>
      <c r="E14" s="3320"/>
      <c r="F14" s="3320"/>
      <c r="G14" s="3320"/>
      <c r="H14" s="3320"/>
      <c r="I14" s="3312">
        <f ca="1">ROUND(K12*H12/10000,2)</f>
        <v>4982.49</v>
      </c>
      <c r="J14" s="3320"/>
      <c r="K14" s="3321"/>
    </row>
    <row r="15" spans="1:16" s="3281" customFormat="1" ht="14.25">
      <c r="A15" s="3285" t="s">
        <v>3030</v>
      </c>
      <c r="B15" s="3320"/>
      <c r="C15" s="3320"/>
      <c r="D15" s="3320"/>
      <c r="E15" s="3320"/>
      <c r="F15" s="3320"/>
      <c r="G15" s="3320"/>
      <c r="H15" s="3320"/>
      <c r="I15" s="3322">
        <v>8299.32</v>
      </c>
      <c r="J15" s="3320"/>
      <c r="K15" s="3321"/>
    </row>
    <row r="16" spans="1:16" s="3281" customFormat="1" ht="14.25">
      <c r="A16" s="3285" t="s">
        <v>3031</v>
      </c>
      <c r="B16" s="3320"/>
      <c r="C16" s="3320"/>
      <c r="D16" s="3320"/>
      <c r="E16" s="3320"/>
      <c r="F16" s="3320"/>
      <c r="G16" s="3320"/>
      <c r="H16" s="3320"/>
      <c r="I16" s="3342">
        <f ca="1">I14+I15</f>
        <v>13281.81</v>
      </c>
      <c r="J16" s="3320"/>
      <c r="K16" s="3321"/>
    </row>
    <row r="17" spans="9:11" s="3323" customFormat="1">
      <c r="I17" s="3324"/>
      <c r="J17" s="3324"/>
      <c r="K17" s="3325"/>
    </row>
    <row r="19" spans="9:11">
      <c r="I19" s="3327">
        <v>199429</v>
      </c>
    </row>
    <row r="20" spans="9:11">
      <c r="I20" s="3376">
        <f ca="1">L12</f>
        <v>4982.4868289999995</v>
      </c>
    </row>
  </sheetData>
  <mergeCells count="3">
    <mergeCell ref="A1:K1"/>
    <mergeCell ref="A5:I5"/>
    <mergeCell ref="J5:K5"/>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7" zoomScale="70" zoomScaleNormal="100" zoomScaleSheetLayoutView="70" zoomScalePageLayoutView="80" workbookViewId="0">
      <selection activeCell="D36" sqref="D36"/>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2"/>
  </cols>
  <sheetData>
    <row r="1" spans="1:22" ht="21.75" customHeight="1" thickBot="1">
      <c r="A1" s="1688" t="s">
        <v>2041</v>
      </c>
      <c r="B1" s="1689"/>
      <c r="C1" s="1717" t="s">
        <v>2042</v>
      </c>
      <c r="D1" s="1718"/>
      <c r="E1" s="1717" t="s">
        <v>2043</v>
      </c>
      <c r="F1" s="1719"/>
      <c r="G1" s="307"/>
      <c r="H1" s="307"/>
      <c r="I1" s="307"/>
      <c r="J1" s="1909"/>
      <c r="K1" s="1909"/>
      <c r="L1" s="1909"/>
      <c r="M1" s="1909"/>
      <c r="N1" s="1909"/>
      <c r="O1" s="1909"/>
      <c r="P1" s="1909"/>
      <c r="Q1" s="1909"/>
      <c r="R1" s="1909"/>
      <c r="S1" s="1909"/>
      <c r="T1" s="1909"/>
      <c r="U1" s="1909"/>
      <c r="V1" s="1909"/>
    </row>
    <row r="2" spans="1:22" ht="21.75" customHeight="1" thickBot="1">
      <c r="A2" s="3537" t="str">
        <f>项目基本情况!K2</f>
        <v>北京市国有建设用地使用权</v>
      </c>
      <c r="B2" s="3538"/>
      <c r="C2" s="3539"/>
      <c r="D2" s="3539"/>
      <c r="E2" s="3539"/>
      <c r="F2" s="3539"/>
      <c r="G2" s="3538"/>
      <c r="H2" s="3538"/>
      <c r="I2" s="3540"/>
      <c r="J2" s="1910"/>
      <c r="K2" s="1909"/>
      <c r="L2" s="1909"/>
      <c r="M2" s="1909"/>
      <c r="N2" s="1909"/>
      <c r="O2" s="1909"/>
      <c r="P2" s="1909"/>
      <c r="Q2" s="1909"/>
      <c r="R2" s="1909"/>
      <c r="S2" s="1909"/>
      <c r="T2" s="1909"/>
      <c r="U2" s="1909"/>
      <c r="V2" s="1909"/>
    </row>
    <row r="3" spans="1:22" ht="14.25">
      <c r="A3" s="3530" t="s">
        <v>296</v>
      </c>
      <c r="B3" s="3531"/>
      <c r="C3" s="3531"/>
      <c r="D3" s="3531"/>
      <c r="E3" s="3531"/>
      <c r="F3" s="3531"/>
      <c r="G3" s="3531"/>
      <c r="H3" s="3531"/>
      <c r="I3" s="3531"/>
      <c r="J3" s="1910"/>
      <c r="K3" s="1909"/>
      <c r="L3" s="1909"/>
      <c r="M3" s="1909"/>
      <c r="N3" s="1909"/>
      <c r="O3" s="1909"/>
      <c r="P3" s="1909"/>
      <c r="Q3" s="1909"/>
      <c r="R3" s="1909"/>
      <c r="S3" s="1909"/>
      <c r="T3" s="1909"/>
      <c r="U3" s="1909"/>
      <c r="V3" s="1909"/>
    </row>
    <row r="4" spans="1:22" ht="14.25">
      <c r="A4" s="254" t="s">
        <v>297</v>
      </c>
      <c r="B4" s="255" t="s">
        <v>298</v>
      </c>
      <c r="C4" s="256" t="s">
        <v>3160</v>
      </c>
      <c r="D4" s="256" t="s">
        <v>3161</v>
      </c>
      <c r="E4" s="3496" t="s">
        <v>299</v>
      </c>
      <c r="F4" s="3497"/>
      <c r="G4" s="3497"/>
      <c r="H4" s="3497"/>
      <c r="I4" s="3532"/>
      <c r="J4" s="1910"/>
      <c r="K4" s="1909"/>
      <c r="L4" s="3192"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495" t="s">
        <v>300</v>
      </c>
      <c r="B5" s="3524">
        <v>25</v>
      </c>
      <c r="C5" s="3522">
        <v>3</v>
      </c>
      <c r="D5" s="3526">
        <v>7</v>
      </c>
      <c r="E5" s="257" t="s">
        <v>301</v>
      </c>
      <c r="F5" s="258"/>
      <c r="G5" s="258"/>
      <c r="H5" s="258"/>
      <c r="I5" s="259"/>
      <c r="J5" s="1910"/>
      <c r="K5" s="1909"/>
      <c r="L5" s="1909"/>
      <c r="M5" s="1909"/>
      <c r="N5" s="1909"/>
      <c r="O5" s="1909"/>
      <c r="P5" s="1909"/>
      <c r="Q5" s="1909"/>
      <c r="R5" s="1909"/>
      <c r="S5" s="1909"/>
      <c r="T5" s="1909"/>
      <c r="U5" s="1909"/>
      <c r="V5" s="1909"/>
    </row>
    <row r="6" spans="1:22" ht="14.25">
      <c r="A6" s="3495"/>
      <c r="B6" s="3524"/>
      <c r="C6" s="3525"/>
      <c r="D6" s="3526"/>
      <c r="E6" s="257" t="s">
        <v>302</v>
      </c>
      <c r="F6" s="258"/>
      <c r="G6" s="258"/>
      <c r="H6" s="258"/>
      <c r="I6" s="259"/>
      <c r="J6" s="1910"/>
      <c r="K6" s="1909"/>
      <c r="L6" s="1909"/>
      <c r="M6" s="1909"/>
      <c r="N6" s="1909"/>
      <c r="O6" s="1909"/>
      <c r="P6" s="1909"/>
      <c r="Q6" s="1909"/>
      <c r="R6" s="1909"/>
      <c r="S6" s="1909"/>
      <c r="T6" s="1909"/>
      <c r="U6" s="1909"/>
      <c r="V6" s="1909"/>
    </row>
    <row r="7" spans="1:22" ht="14.25">
      <c r="A7" s="3495"/>
      <c r="B7" s="3524"/>
      <c r="C7" s="3523"/>
      <c r="D7" s="3526"/>
      <c r="E7" s="257" t="s">
        <v>303</v>
      </c>
      <c r="F7" s="258"/>
      <c r="G7" s="258"/>
      <c r="H7" s="258"/>
      <c r="I7" s="259"/>
      <c r="J7" s="1910"/>
      <c r="K7" s="1909"/>
      <c r="L7" s="1909"/>
      <c r="M7" s="1909"/>
      <c r="N7" s="1909"/>
      <c r="O7" s="1909"/>
      <c r="P7" s="1909"/>
      <c r="Q7" s="1909"/>
      <c r="R7" s="1909"/>
      <c r="S7" s="1909"/>
      <c r="T7" s="1909"/>
      <c r="U7" s="1909"/>
      <c r="V7" s="1909"/>
    </row>
    <row r="8" spans="1:22" ht="14.25">
      <c r="A8" s="3495" t="s">
        <v>304</v>
      </c>
      <c r="B8" s="3524">
        <v>15</v>
      </c>
      <c r="C8" s="3522"/>
      <c r="D8" s="3526"/>
      <c r="E8" s="257" t="s">
        <v>305</v>
      </c>
      <c r="F8" s="258"/>
      <c r="G8" s="258"/>
      <c r="H8" s="258"/>
      <c r="I8" s="259"/>
      <c r="J8" s="1910"/>
      <c r="K8" s="1909"/>
      <c r="L8" s="1909"/>
      <c r="M8" s="1909"/>
      <c r="N8" s="1909"/>
      <c r="O8" s="1909"/>
      <c r="P8" s="1909"/>
      <c r="Q8" s="1909"/>
      <c r="R8" s="1909"/>
      <c r="S8" s="1909"/>
      <c r="T8" s="1909"/>
      <c r="U8" s="1909"/>
      <c r="V8" s="1909"/>
    </row>
    <row r="9" spans="1:22" ht="14.25">
      <c r="A9" s="3495"/>
      <c r="B9" s="3524"/>
      <c r="C9" s="3523"/>
      <c r="D9" s="3526"/>
      <c r="E9" s="257" t="s">
        <v>306</v>
      </c>
      <c r="F9" s="258"/>
      <c r="G9" s="258"/>
      <c r="H9" s="258"/>
      <c r="I9" s="259"/>
      <c r="J9" s="1910"/>
      <c r="K9" s="1909"/>
      <c r="L9" s="1909"/>
      <c r="M9" s="1909"/>
      <c r="N9" s="1909"/>
      <c r="O9" s="1909"/>
      <c r="P9" s="1909"/>
      <c r="Q9" s="1909"/>
      <c r="R9" s="1909"/>
      <c r="S9" s="1909"/>
      <c r="T9" s="1909"/>
      <c r="U9" s="1909"/>
      <c r="V9" s="1909"/>
    </row>
    <row r="10" spans="1:22" ht="14.25">
      <c r="A10" s="3495" t="s">
        <v>307</v>
      </c>
      <c r="B10" s="3524">
        <v>15</v>
      </c>
      <c r="C10" s="3522"/>
      <c r="D10" s="3526"/>
      <c r="E10" s="257" t="s">
        <v>308</v>
      </c>
      <c r="F10" s="258"/>
      <c r="G10" s="258"/>
      <c r="H10" s="258"/>
      <c r="I10" s="259"/>
      <c r="J10" s="1910"/>
      <c r="K10" s="1909"/>
      <c r="L10" s="1909"/>
      <c r="M10" s="1909"/>
      <c r="N10" s="1909"/>
      <c r="O10" s="1909"/>
      <c r="P10" s="1909"/>
      <c r="Q10" s="1909"/>
      <c r="R10" s="1909"/>
      <c r="S10" s="1909"/>
      <c r="T10" s="1909"/>
      <c r="U10" s="1909"/>
      <c r="V10" s="1909"/>
    </row>
    <row r="11" spans="1:22" ht="14.25">
      <c r="A11" s="3495"/>
      <c r="B11" s="3524"/>
      <c r="C11" s="3523"/>
      <c r="D11" s="3526"/>
      <c r="E11" s="257" t="s">
        <v>309</v>
      </c>
      <c r="F11" s="258"/>
      <c r="G11" s="258"/>
      <c r="H11" s="258"/>
      <c r="I11" s="259"/>
      <c r="J11" s="1910"/>
      <c r="K11" s="1909"/>
      <c r="L11" s="1909"/>
      <c r="M11" s="1909"/>
      <c r="N11" s="1909"/>
      <c r="O11" s="1909"/>
      <c r="P11" s="1909"/>
      <c r="Q11" s="1909"/>
      <c r="R11" s="1909"/>
      <c r="S11" s="1909"/>
      <c r="T11" s="1909"/>
      <c r="U11" s="1909"/>
      <c r="V11" s="1909"/>
    </row>
    <row r="12" spans="1:22" ht="14.25">
      <c r="A12" s="3495" t="s">
        <v>310</v>
      </c>
      <c r="B12" s="3524">
        <v>15</v>
      </c>
      <c r="C12" s="3522"/>
      <c r="D12" s="3526"/>
      <c r="E12" s="257" t="s">
        <v>311</v>
      </c>
      <c r="F12" s="258"/>
      <c r="G12" s="258"/>
      <c r="H12" s="258"/>
      <c r="I12" s="259"/>
      <c r="J12" s="1910"/>
      <c r="K12" s="1909"/>
      <c r="L12" s="1909"/>
      <c r="M12" s="1909"/>
      <c r="N12" s="1909"/>
      <c r="O12" s="1909"/>
      <c r="P12" s="1909"/>
      <c r="Q12" s="1909"/>
      <c r="R12" s="1909"/>
      <c r="S12" s="1909"/>
      <c r="T12" s="1909"/>
      <c r="U12" s="1909"/>
      <c r="V12" s="1909"/>
    </row>
    <row r="13" spans="1:22" ht="14.25">
      <c r="A13" s="3495"/>
      <c r="B13" s="3524"/>
      <c r="C13" s="3523"/>
      <c r="D13" s="3526"/>
      <c r="E13" s="257" t="s">
        <v>312</v>
      </c>
      <c r="F13" s="258"/>
      <c r="G13" s="258"/>
      <c r="H13" s="258"/>
      <c r="I13" s="259"/>
      <c r="J13" s="1910"/>
      <c r="K13" s="1909"/>
      <c r="L13" s="1909"/>
      <c r="M13" s="1909"/>
      <c r="N13" s="1909"/>
      <c r="O13" s="1909"/>
      <c r="P13" s="1909"/>
      <c r="Q13" s="1909"/>
      <c r="R13" s="1909"/>
      <c r="S13" s="1909"/>
      <c r="T13" s="1909"/>
      <c r="U13" s="1909"/>
      <c r="V13" s="1909"/>
    </row>
    <row r="14" spans="1:22" ht="14.25">
      <c r="A14" s="3495" t="s">
        <v>313</v>
      </c>
      <c r="B14" s="3524">
        <v>30</v>
      </c>
      <c r="C14" s="3522"/>
      <c r="D14" s="3526"/>
      <c r="E14" s="257" t="s">
        <v>314</v>
      </c>
      <c r="F14" s="258"/>
      <c r="G14" s="258"/>
      <c r="H14" s="258"/>
      <c r="I14" s="259"/>
      <c r="J14" s="1910"/>
      <c r="K14" s="1909"/>
      <c r="L14" s="1909"/>
      <c r="M14" s="1909"/>
      <c r="N14" s="1909"/>
      <c r="O14" s="1909"/>
      <c r="P14" s="1909"/>
      <c r="Q14" s="1909"/>
      <c r="R14" s="1909"/>
      <c r="S14" s="1909"/>
      <c r="T14" s="1909"/>
      <c r="U14" s="1909"/>
      <c r="V14" s="1909"/>
    </row>
    <row r="15" spans="1:22" ht="14.25">
      <c r="A15" s="3495"/>
      <c r="B15" s="3524"/>
      <c r="C15" s="3525"/>
      <c r="D15" s="3526"/>
      <c r="E15" s="257" t="s">
        <v>315</v>
      </c>
      <c r="F15" s="258"/>
      <c r="G15" s="258"/>
      <c r="H15" s="258"/>
      <c r="I15" s="259"/>
      <c r="J15" s="1910"/>
      <c r="K15" s="1909"/>
      <c r="L15" s="1909"/>
      <c r="M15" s="1909"/>
      <c r="N15" s="1909"/>
      <c r="O15" s="1909"/>
      <c r="P15" s="1909"/>
      <c r="Q15" s="1909"/>
      <c r="R15" s="1909"/>
      <c r="S15" s="1909"/>
      <c r="T15" s="1909"/>
      <c r="U15" s="1909"/>
      <c r="V15" s="1909"/>
    </row>
    <row r="16" spans="1:22" ht="14.25">
      <c r="A16" s="3495"/>
      <c r="B16" s="3524"/>
      <c r="C16" s="3523"/>
      <c r="D16" s="3526"/>
      <c r="E16" s="257" t="s">
        <v>316</v>
      </c>
      <c r="F16" s="258"/>
      <c r="G16" s="258"/>
      <c r="H16" s="258"/>
      <c r="I16" s="259"/>
      <c r="J16" s="1910"/>
      <c r="K16" s="1909"/>
      <c r="L16" s="1909"/>
      <c r="M16" s="1909"/>
      <c r="N16" s="1909"/>
      <c r="O16" s="1909"/>
      <c r="P16" s="1909"/>
      <c r="Q16" s="1909"/>
      <c r="R16" s="1909"/>
      <c r="S16" s="1909"/>
      <c r="T16" s="1909"/>
      <c r="U16" s="1909"/>
      <c r="V16" s="1909"/>
    </row>
    <row r="17" spans="1:26" ht="15">
      <c r="A17" s="260" t="s">
        <v>317</v>
      </c>
      <c r="B17" s="141"/>
      <c r="C17" s="261">
        <f>SUM(C5:C16)</f>
        <v>3</v>
      </c>
      <c r="D17" s="261">
        <f>SUM(D5:D16)</f>
        <v>7</v>
      </c>
      <c r="E17" s="307"/>
      <c r="F17" s="307"/>
      <c r="G17" s="307"/>
      <c r="H17" s="307"/>
      <c r="I17" s="307"/>
      <c r="J17" s="1910"/>
      <c r="K17" s="1909"/>
      <c r="L17" s="1909"/>
      <c r="M17" s="1909"/>
      <c r="N17" s="1909"/>
      <c r="O17" s="1909"/>
      <c r="P17" s="1909"/>
      <c r="Q17" s="1909"/>
      <c r="R17" s="1909"/>
      <c r="S17" s="1909"/>
      <c r="T17" s="1909"/>
      <c r="U17" s="1909"/>
      <c r="V17" s="1909"/>
    </row>
    <row r="18" spans="1:26" ht="32.450000000000003" customHeight="1" thickBot="1">
      <c r="A18" s="262" t="s">
        <v>318</v>
      </c>
      <c r="B18" s="104"/>
      <c r="C18" s="263">
        <f>ROUND(C17/SUM(C17:D17),2)</f>
        <v>0.3</v>
      </c>
      <c r="D18" s="263">
        <f>1-C18</f>
        <v>0.7</v>
      </c>
      <c r="E18" s="3527" t="s">
        <v>2956</v>
      </c>
      <c r="F18" s="3528"/>
      <c r="G18" s="3528"/>
      <c r="H18" s="3528"/>
      <c r="I18" s="3528"/>
      <c r="J18" s="1909"/>
      <c r="K18" s="1909"/>
      <c r="L18" s="1909"/>
      <c r="M18" s="1909"/>
      <c r="N18" s="1909"/>
      <c r="O18" s="1909"/>
      <c r="P18" s="1909"/>
      <c r="Q18" s="1909"/>
      <c r="R18" s="1909"/>
      <c r="S18" s="1909"/>
      <c r="T18" s="1909"/>
      <c r="U18" s="1909"/>
      <c r="V18" s="1909"/>
    </row>
    <row r="19" spans="1:26" ht="15">
      <c r="A19" s="264" t="s">
        <v>319</v>
      </c>
      <c r="B19" s="265" t="s">
        <v>320</v>
      </c>
      <c r="C19" s="266">
        <f ca="1">SUMIF(INDIRECT("'"&amp;C4&amp;"'"&amp;"!A:A"),结果表!B19,INDIRECT("'"&amp;C4&amp;"'"&amp;"!B:B"))</f>
        <v>19878</v>
      </c>
      <c r="D19" s="267">
        <f ca="1">SUMIF(INDIRECT("'"&amp;D4&amp;"'"&amp;"!A:A"),结果表!B19,INDIRECT("'"&amp;D4&amp;"'"&amp;"!B:B"))</f>
        <v>19953</v>
      </c>
      <c r="E19" s="264" t="s">
        <v>321</v>
      </c>
      <c r="F19" s="265" t="s">
        <v>320</v>
      </c>
      <c r="G19" s="268">
        <f ca="1">ROUND(C19*$C$18+D19*$D$18,0)</f>
        <v>19931</v>
      </c>
      <c r="H19" s="269" t="s">
        <v>322</v>
      </c>
      <c r="I19" s="307"/>
      <c r="J19" s="1909"/>
      <c r="K19" s="1909"/>
      <c r="L19" s="1909"/>
      <c r="M19" s="1909"/>
      <c r="N19" s="1909"/>
      <c r="O19" s="1909"/>
      <c r="P19" s="1909"/>
      <c r="Q19" s="1909"/>
      <c r="R19" s="1909"/>
      <c r="S19" s="1909"/>
      <c r="T19" s="1909"/>
      <c r="U19" s="1909"/>
      <c r="V19" s="1909"/>
    </row>
    <row r="20" spans="1:26" ht="15">
      <c r="A20" s="270"/>
      <c r="B20" s="271" t="s">
        <v>323</v>
      </c>
      <c r="C20" s="272">
        <f ca="1">SUMIF(INDIRECT("'"&amp;C4&amp;"'"&amp;"!A:A"),结果表!B20,INDIRECT("'"&amp;C4&amp;"'"&amp;"!B:B"))</f>
        <v>12906</v>
      </c>
      <c r="D20" s="273">
        <f ca="1">SUMIF(INDIRECT("'"&amp;D4&amp;"'"&amp;"!A:A"),结果表!B20,INDIRECT("'"&amp;D4&amp;"'"&amp;"!B:B"))</f>
        <v>12955</v>
      </c>
      <c r="E20" s="270"/>
      <c r="F20" s="271" t="s">
        <v>323</v>
      </c>
      <c r="G20" s="274">
        <f ca="1">ROUND(C20*$C$18+D20*$D$18,0)</f>
        <v>12940</v>
      </c>
      <c r="H20" s="275" t="s">
        <v>324</v>
      </c>
      <c r="I20" s="307"/>
      <c r="J20" s="1909"/>
      <c r="K20" s="1909"/>
      <c r="L20" s="1909"/>
      <c r="M20" s="1909"/>
      <c r="N20" s="1909"/>
      <c r="O20" s="1909"/>
      <c r="P20" s="1909"/>
      <c r="Q20" s="1909"/>
      <c r="R20" s="1909"/>
      <c r="S20" s="1909"/>
      <c r="T20" s="1909"/>
      <c r="U20" s="1909"/>
      <c r="V20" s="1909"/>
    </row>
    <row r="21" spans="1:26" ht="15" customHeight="1">
      <c r="A21" s="270"/>
      <c r="B21" s="276" t="s">
        <v>325</v>
      </c>
      <c r="C21" s="277">
        <f ca="1">SUMIF(INDIRECT("'"&amp;C4&amp;"'"&amp;"!A:A"),结果表!B21,INDIRECT("'"&amp;C4&amp;"'"&amp;"!B:B"))</f>
        <v>36138</v>
      </c>
      <c r="D21" s="148">
        <f ca="1">SUMIF(INDIRECT("'"&amp;D4&amp;"'"&amp;"!A:A"),结果表!B21,INDIRECT("'"&amp;D4&amp;"'"&amp;"!B:B"))</f>
        <v>72548</v>
      </c>
      <c r="E21" s="270"/>
      <c r="F21" s="276" t="s">
        <v>325</v>
      </c>
      <c r="G21" s="278">
        <f ca="1">ROUND(C21*$C$18+D21*$D$18,0)</f>
        <v>61625</v>
      </c>
      <c r="H21" s="1203" t="s">
        <v>324</v>
      </c>
      <c r="I21" s="307"/>
      <c r="J21" s="1909"/>
      <c r="K21" s="1909"/>
      <c r="L21" s="1909"/>
      <c r="M21" s="1909"/>
      <c r="N21" s="1909"/>
      <c r="O21" s="1909"/>
      <c r="P21" s="1909"/>
      <c r="Q21" s="1909"/>
      <c r="R21" s="1909"/>
      <c r="S21" s="1909"/>
      <c r="T21" s="1909"/>
      <c r="U21" s="1909"/>
      <c r="V21" s="1909"/>
    </row>
    <row r="22" spans="1:26" ht="15.75" thickBot="1">
      <c r="A22" s="125" t="s">
        <v>326</v>
      </c>
      <c r="B22" s="1204"/>
      <c r="C22" s="1205"/>
      <c r="D22" s="279">
        <f ca="1">IF(C19&lt;D19,D19/C19-1,C19/D19-1)</f>
        <v>3.7730153939028455E-3</v>
      </c>
      <c r="E22" s="280"/>
      <c r="F22" s="281"/>
      <c r="G22" s="282">
        <f ca="1">ROUND(G19/('数据-汇总表'!D3/666.67),0)</f>
        <v>2416</v>
      </c>
      <c r="H22" s="283" t="s">
        <v>327</v>
      </c>
      <c r="I22" s="307"/>
      <c r="J22" s="1909"/>
      <c r="K22" s="1909"/>
      <c r="L22" s="1909"/>
      <c r="M22" s="1909"/>
      <c r="N22" s="1909"/>
      <c r="O22" s="1909"/>
      <c r="P22" s="1909"/>
      <c r="Q22" s="1909"/>
      <c r="R22" s="1909"/>
      <c r="S22" s="1909"/>
      <c r="T22" s="1909"/>
      <c r="U22" s="1909"/>
      <c r="V22" s="1909"/>
    </row>
    <row r="23" spans="1:26" ht="13.5" thickBot="1">
      <c r="A23" s="307"/>
      <c r="B23" s="307"/>
      <c r="C23" s="307"/>
      <c r="D23" s="307"/>
      <c r="E23" s="307"/>
      <c r="F23" s="307"/>
      <c r="G23" s="307"/>
      <c r="H23" s="307"/>
      <c r="I23" s="307"/>
      <c r="J23" s="1909"/>
      <c r="K23" s="1909"/>
      <c r="L23" s="1909"/>
      <c r="M23" s="1909"/>
      <c r="N23" s="1909"/>
      <c r="O23" s="1909"/>
      <c r="P23" s="1909"/>
      <c r="Q23" s="1909"/>
      <c r="R23" s="1909"/>
      <c r="S23" s="1909"/>
      <c r="T23" s="1909"/>
      <c r="U23" s="1909"/>
      <c r="V23" s="1909"/>
    </row>
    <row r="24" spans="1:26" ht="15" thickBot="1">
      <c r="A24" s="3501" t="s">
        <v>328</v>
      </c>
      <c r="B24" s="265" t="s">
        <v>320</v>
      </c>
      <c r="C24" s="284">
        <f>IF(B30=0,0,D30)</f>
        <v>0</v>
      </c>
      <c r="D24" s="285"/>
      <c r="E24" s="307"/>
      <c r="F24" s="307"/>
      <c r="G24" s="307"/>
      <c r="H24" s="307"/>
      <c r="I24" s="307"/>
      <c r="J24" s="1909"/>
      <c r="K24" s="1909"/>
      <c r="L24" s="1909"/>
      <c r="M24" s="1909"/>
      <c r="N24" s="1909"/>
      <c r="O24" s="1909"/>
      <c r="P24" s="1909"/>
      <c r="Q24" s="1909"/>
      <c r="R24" s="1909"/>
      <c r="S24" s="1909"/>
      <c r="T24" s="1909"/>
      <c r="U24" s="1909"/>
      <c r="V24" s="1909"/>
    </row>
    <row r="25" spans="1:26" ht="18">
      <c r="A25" s="3502"/>
      <c r="B25" s="1273" t="s">
        <v>329</v>
      </c>
      <c r="C25" s="286">
        <f>IF(B30=0,0,C30)</f>
        <v>0</v>
      </c>
      <c r="D25" s="287"/>
      <c r="E25" s="307"/>
      <c r="F25" s="307"/>
      <c r="G25" s="307"/>
      <c r="H25" s="307"/>
      <c r="I25" s="307"/>
      <c r="J25" s="1909"/>
      <c r="K25" s="1207" t="str">
        <f ca="1">项目基本情况!B16&amp;"国有建设用地使用权价格："&amp;O38&amp;"万元"</f>
        <v>国有建设用地使用权价格：19931万元</v>
      </c>
      <c r="L25" s="1208"/>
      <c r="M25" s="1208"/>
      <c r="N25" s="1208"/>
      <c r="O25" s="1209"/>
      <c r="P25" s="1909"/>
      <c r="Q25" s="1909"/>
      <c r="R25" s="1909"/>
      <c r="S25" s="1909"/>
      <c r="T25" s="1909"/>
      <c r="U25" s="1909"/>
      <c r="V25" s="1909"/>
    </row>
    <row r="26" spans="1:26" s="1206" customFormat="1" ht="18">
      <c r="A26" s="289" t="s">
        <v>330</v>
      </c>
      <c r="B26" s="290" t="s">
        <v>331</v>
      </c>
      <c r="C26" s="290" t="s">
        <v>332</v>
      </c>
      <c r="D26" s="291" t="s">
        <v>333</v>
      </c>
      <c r="E26" s="307"/>
      <c r="F26" s="307"/>
      <c r="G26" s="307"/>
      <c r="H26" s="307"/>
      <c r="I26" s="307"/>
      <c r="J26" s="1909"/>
      <c r="K26" s="1210" t="str">
        <f ca="1">"大写金额：人民币"&amp;NUMBERSTRING(INT(O38*10000),2)&amp;"元整"</f>
        <v>大写金额：人民币壹亿玖仟玖佰叁拾壹万元整</v>
      </c>
      <c r="L26" s="1204"/>
      <c r="M26" s="1204"/>
      <c r="N26" s="1204"/>
      <c r="O26" s="1203"/>
      <c r="P26" s="1909"/>
      <c r="Q26" s="1909"/>
      <c r="R26" s="1909"/>
      <c r="S26" s="1909"/>
      <c r="T26" s="1909"/>
      <c r="U26" s="1909"/>
      <c r="V26" s="1909"/>
      <c r="W26" s="288"/>
      <c r="X26" s="288"/>
      <c r="Y26" s="288"/>
      <c r="Z26" s="288"/>
    </row>
    <row r="27" spans="1:26" ht="18">
      <c r="A27" s="289"/>
      <c r="B27" s="290"/>
      <c r="C27" s="290"/>
      <c r="D27" s="291"/>
      <c r="E27" s="307"/>
      <c r="F27" s="307"/>
      <c r="G27" s="307"/>
      <c r="H27" s="307"/>
      <c r="I27" s="307"/>
      <c r="J27" s="1909"/>
      <c r="K27" s="1210" t="str">
        <f ca="1">"单位面积地价："&amp;M38&amp;"元/平方米"</f>
        <v>单位面积地价：36234元/平方米</v>
      </c>
      <c r="L27" s="1204"/>
      <c r="M27" s="1204"/>
      <c r="N27" s="1204"/>
      <c r="O27" s="1203"/>
      <c r="P27" s="1909"/>
      <c r="Q27" s="1909"/>
      <c r="R27" s="1909"/>
      <c r="S27" s="1909"/>
      <c r="T27" s="1909"/>
      <c r="U27" s="1909"/>
      <c r="V27" s="1909"/>
    </row>
    <row r="28" spans="1:26" ht="18.75" customHeight="1">
      <c r="A28" s="289"/>
      <c r="B28" s="290"/>
      <c r="C28" s="290"/>
      <c r="D28" s="291"/>
      <c r="E28" s="307"/>
      <c r="F28" s="307"/>
      <c r="G28" s="307"/>
      <c r="H28" s="307"/>
      <c r="I28" s="307"/>
      <c r="J28" s="1909"/>
      <c r="K28" s="1210" t="str">
        <f ca="1">"楼面地价："&amp;N38&amp;"元/平方米"</f>
        <v>楼面地价：6470元/平方米</v>
      </c>
      <c r="L28" s="1204"/>
      <c r="M28" s="1204"/>
      <c r="N28" s="1204"/>
      <c r="O28" s="1203"/>
      <c r="P28" s="1909"/>
      <c r="V28" s="1909"/>
    </row>
    <row r="29" spans="1:26" ht="18">
      <c r="A29" s="289"/>
      <c r="B29" s="290"/>
      <c r="C29" s="290"/>
      <c r="D29" s="291"/>
      <c r="E29" s="307"/>
      <c r="F29" s="307"/>
      <c r="G29" s="307"/>
      <c r="H29" s="307"/>
      <c r="I29" s="307"/>
      <c r="J29" s="1909"/>
      <c r="K29" s="1210" t="str">
        <f>IF(OR(项目基本情况!E8="抵押价格",项目基本情况!E8="已注销及未注销"),"抵押价格："&amp;O39&amp;"万元","——")</f>
        <v>——</v>
      </c>
      <c r="L29" s="1204"/>
      <c r="M29" s="1204"/>
      <c r="N29" s="1204"/>
      <c r="O29" s="1203"/>
      <c r="P29" s="1909"/>
      <c r="V29" s="1909"/>
    </row>
    <row r="30" spans="1:26" ht="18.75" thickBot="1">
      <c r="A30" s="2798" t="s">
        <v>334</v>
      </c>
      <c r="B30" s="305"/>
      <c r="C30" s="305"/>
      <c r="D30" s="306"/>
      <c r="E30" s="3001" t="s">
        <v>2957</v>
      </c>
      <c r="F30" s="307"/>
      <c r="G30" s="307"/>
      <c r="H30" s="307"/>
      <c r="I30" s="307"/>
      <c r="J30" s="1909"/>
      <c r="K30" s="1210" t="str">
        <f>IF(K29="——","——","大写金额：人民币"&amp;NUMBERSTRING(INT(O39*10000),2)&amp;"元整")</f>
        <v>——</v>
      </c>
      <c r="L30" s="1204"/>
      <c r="M30" s="1204"/>
      <c r="N30" s="1204"/>
      <c r="O30" s="1203"/>
      <c r="P30" s="1909"/>
      <c r="V30" s="1909"/>
    </row>
    <row r="31" spans="1:26" ht="24" customHeight="1" thickBot="1">
      <c r="A31" s="3529" t="s">
        <v>2958</v>
      </c>
      <c r="B31" s="3529"/>
      <c r="C31" s="3529"/>
      <c r="D31" s="3529"/>
      <c r="E31" s="3529"/>
      <c r="F31" s="3529"/>
      <c r="G31" s="3529"/>
      <c r="H31" s="3529"/>
      <c r="I31" s="3529"/>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0" t="s">
        <v>335</v>
      </c>
      <c r="B32" s="3002" t="s">
        <v>1676</v>
      </c>
      <c r="C32" s="262">
        <f ca="1">G19-C24</f>
        <v>19931</v>
      </c>
      <c r="D32" s="3003" t="s">
        <v>1677</v>
      </c>
      <c r="E32" s="307"/>
      <c r="F32" s="307"/>
      <c r="G32" s="307"/>
      <c r="H32" s="307"/>
      <c r="I32" s="307"/>
      <c r="J32" s="1909"/>
      <c r="K32" s="2315" t="e">
        <f>IF(K31="——","——","大写金额：人民币"&amp;NUMBERSTRING(INT(O40*10000),2)&amp;"元整")</f>
        <v>#VALUE!</v>
      </c>
      <c r="L32" s="2318"/>
      <c r="M32" s="2318"/>
      <c r="N32" s="2318"/>
      <c r="O32" s="2319"/>
      <c r="P32" s="1909"/>
      <c r="V32" s="1909"/>
    </row>
    <row r="33" spans="1:26" ht="18.75" thickBot="1">
      <c r="A33" s="294" t="s">
        <v>338</v>
      </c>
      <c r="B33" s="1331" t="s">
        <v>1678</v>
      </c>
      <c r="C33" s="260">
        <f ca="1">ROUND(C32*10000/'数据-汇总表'!E3,0)</f>
        <v>6470</v>
      </c>
      <c r="D33" s="1332" t="s">
        <v>1679</v>
      </c>
      <c r="E33" s="3501" t="s">
        <v>336</v>
      </c>
      <c r="F33" s="292" t="s">
        <v>337</v>
      </c>
      <c r="G33" s="293"/>
      <c r="H33" s="966"/>
      <c r="I33" s="1211"/>
      <c r="J33" s="1909"/>
      <c r="K33" s="1210" t="str">
        <f>IF(项目基本情况!E9="——","——","抵押净值："&amp;C46&amp;"万元")</f>
        <v>抵押净值：——万元</v>
      </c>
      <c r="L33" s="1204"/>
      <c r="M33" s="1204"/>
      <c r="N33" s="1204"/>
      <c r="O33" s="1203"/>
      <c r="P33" s="1909"/>
      <c r="V33" s="1909"/>
    </row>
    <row r="34" spans="1:26" s="1206" customFormat="1" ht="18.75" thickBot="1">
      <c r="A34" s="296"/>
      <c r="B34" s="1333" t="s">
        <v>1680</v>
      </c>
      <c r="C34" s="260">
        <f ca="1">ROUND(C32*10000/'数据-汇总表'!D3,0)</f>
        <v>36234</v>
      </c>
      <c r="D34" s="1334" t="s">
        <v>1679</v>
      </c>
      <c r="E34" s="3545"/>
      <c r="F34" s="126" t="s">
        <v>339</v>
      </c>
      <c r="G34" s="295"/>
      <c r="H34" s="104"/>
      <c r="I34" s="307"/>
      <c r="J34" s="1909"/>
      <c r="K34" s="1213" t="e">
        <f>IF(K33="——","——","大写金额：人民币"&amp;NUMBERSTRING(INT(O41*10000),2)&amp;"元整")</f>
        <v>#VALUE!</v>
      </c>
      <c r="L34" s="1214"/>
      <c r="M34" s="1214"/>
      <c r="N34" s="1214"/>
      <c r="O34" s="1215"/>
      <c r="P34" s="1909"/>
      <c r="Q34" s="288"/>
      <c r="R34" s="288"/>
      <c r="S34" s="288"/>
      <c r="T34" s="288"/>
      <c r="U34" s="288"/>
      <c r="V34" s="1909"/>
      <c r="W34" s="288"/>
      <c r="X34" s="288"/>
      <c r="Y34" s="288"/>
      <c r="Z34" s="288"/>
    </row>
    <row r="35" spans="1:26" ht="15.75" thickBot="1">
      <c r="A35" s="280"/>
      <c r="B35" s="1335"/>
      <c r="C35" s="1336">
        <f ca="1">ROUND(C32/('数据-汇总表'!D3/666.67),0)</f>
        <v>2416</v>
      </c>
      <c r="D35" s="1337" t="s">
        <v>1681</v>
      </c>
      <c r="E35" s="3546"/>
      <c r="F35" s="297" t="s">
        <v>340</v>
      </c>
      <c r="G35" s="968"/>
      <c r="H35" s="967" t="s">
        <v>341</v>
      </c>
      <c r="I35" s="307"/>
      <c r="J35" s="1909"/>
      <c r="K35" s="3519" t="s">
        <v>348</v>
      </c>
      <c r="L35" s="3519" t="s">
        <v>349</v>
      </c>
      <c r="M35" s="1216" t="s">
        <v>350</v>
      </c>
      <c r="N35" s="3519" t="s">
        <v>351</v>
      </c>
      <c r="O35" s="3519" t="s">
        <v>352</v>
      </c>
      <c r="P35" s="1909"/>
      <c r="V35" s="1909"/>
    </row>
    <row r="36" spans="1:26" ht="16.5" customHeight="1">
      <c r="A36" s="299" t="s">
        <v>342</v>
      </c>
      <c r="B36" s="300" t="s">
        <v>331</v>
      </c>
      <c r="C36" s="301" t="s">
        <v>343</v>
      </c>
      <c r="D36" s="301" t="s">
        <v>344</v>
      </c>
      <c r="E36" s="302" t="s">
        <v>345</v>
      </c>
      <c r="F36" s="307"/>
      <c r="G36" s="307"/>
      <c r="H36" s="307"/>
      <c r="I36" s="307"/>
      <c r="J36" s="1911"/>
      <c r="K36" s="3520"/>
      <c r="L36" s="3520"/>
      <c r="M36" s="1218" t="s">
        <v>353</v>
      </c>
      <c r="N36" s="3520"/>
      <c r="O36" s="3520"/>
      <c r="P36" s="1909"/>
      <c r="V36" s="1909"/>
    </row>
    <row r="37" spans="1:26" ht="16.5" customHeight="1" thickBot="1">
      <c r="A37" s="1212" t="s">
        <v>346</v>
      </c>
      <c r="B37" s="303"/>
      <c r="C37" s="290"/>
      <c r="D37" s="290"/>
      <c r="E37" s="291"/>
      <c r="F37" s="307"/>
      <c r="G37" s="307"/>
      <c r="H37" s="307"/>
      <c r="I37" s="307"/>
      <c r="J37" s="1911"/>
      <c r="K37" s="3521"/>
      <c r="L37" s="3521"/>
      <c r="M37" s="1219"/>
      <c r="N37" s="3521"/>
      <c r="O37" s="3521"/>
      <c r="P37" s="1909"/>
      <c r="V37" s="1909"/>
    </row>
    <row r="38" spans="1:26" ht="16.5" customHeight="1" thickBot="1">
      <c r="A38" s="1212" t="s">
        <v>347</v>
      </c>
      <c r="B38" s="303"/>
      <c r="C38" s="290"/>
      <c r="D38" s="290"/>
      <c r="E38" s="291"/>
      <c r="F38" s="307"/>
      <c r="G38" s="307"/>
      <c r="H38" s="307"/>
      <c r="I38" s="307"/>
      <c r="J38" s="1911"/>
      <c r="K38" s="1220">
        <f>'数据-汇总表'!D3</f>
        <v>5500.65</v>
      </c>
      <c r="L38" s="1221">
        <f>'数据-汇总表'!E3</f>
        <v>30803.628000000001</v>
      </c>
      <c r="M38" s="1221">
        <f ca="1">C34</f>
        <v>36234</v>
      </c>
      <c r="N38" s="1221">
        <f ca="1">C33</f>
        <v>6470</v>
      </c>
      <c r="O38" s="1222">
        <f ca="1">C32</f>
        <v>19931</v>
      </c>
      <c r="P38" s="1909"/>
      <c r="V38" s="1909"/>
    </row>
    <row r="39" spans="1:26" ht="16.5" customHeight="1" thickBot="1">
      <c r="A39" s="1217"/>
      <c r="B39" s="304"/>
      <c r="C39" s="305"/>
      <c r="D39" s="305"/>
      <c r="E39" s="306"/>
      <c r="F39" s="307"/>
      <c r="G39" s="307"/>
      <c r="H39" s="307"/>
      <c r="I39" s="307"/>
      <c r="J39" s="1911"/>
      <c r="K39" s="3559" t="str">
        <f>MID(A44,3,LEN(A44)-2)</f>
        <v/>
      </c>
      <c r="L39" s="3560"/>
      <c r="M39" s="3560"/>
      <c r="N39" s="3561"/>
      <c r="O39" s="1339" t="str">
        <f>C44</f>
        <v>——</v>
      </c>
      <c r="P39" s="1909"/>
      <c r="V39" s="1909"/>
    </row>
    <row r="40" spans="1:26" ht="19.5" thickBot="1">
      <c r="A40" s="103" t="s">
        <v>862</v>
      </c>
      <c r="B40" s="307"/>
      <c r="C40" s="307"/>
      <c r="D40" s="307"/>
      <c r="E40" s="307"/>
      <c r="F40" s="307"/>
      <c r="G40" s="307"/>
      <c r="H40" s="307"/>
      <c r="I40" s="307"/>
      <c r="J40" s="1911"/>
      <c r="K40" s="3559" t="str">
        <f t="shared" ref="K40:K41" si="0">MID(A45,3,LEN(A45)-2)</f>
        <v/>
      </c>
      <c r="L40" s="3560"/>
      <c r="M40" s="3560"/>
      <c r="N40" s="3561"/>
      <c r="O40" s="1339" t="str">
        <f>C45</f>
        <v>——</v>
      </c>
      <c r="P40" s="1909"/>
      <c r="V40" s="1909"/>
    </row>
    <row r="41" spans="1:26" ht="16.5" thickBot="1">
      <c r="A41" s="308" t="s">
        <v>354</v>
      </c>
      <c r="B41" s="309"/>
      <c r="C41" s="310" t="s">
        <v>355</v>
      </c>
      <c r="D41" s="311" t="s">
        <v>356</v>
      </c>
      <c r="E41" s="311" t="s">
        <v>357</v>
      </c>
      <c r="F41" s="312" t="s">
        <v>358</v>
      </c>
      <c r="G41" s="307"/>
      <c r="H41" s="307"/>
      <c r="I41" s="307"/>
      <c r="J41" s="1911"/>
      <c r="K41" s="3559" t="str">
        <f t="shared" si="0"/>
        <v/>
      </c>
      <c r="L41" s="3560"/>
      <c r="M41" s="3560"/>
      <c r="N41" s="3561"/>
      <c r="O41" s="1339" t="str">
        <f>C46</f>
        <v>——</v>
      </c>
      <c r="P41" s="1909"/>
      <c r="V41" s="1909"/>
    </row>
    <row r="42" spans="1:26" ht="29.25">
      <c r="A42" s="3503" t="s">
        <v>2053</v>
      </c>
      <c r="B42" s="3504"/>
      <c r="C42" s="260">
        <f ca="1">C32</f>
        <v>19931</v>
      </c>
      <c r="D42" s="313">
        <f ca="1">C33</f>
        <v>6470</v>
      </c>
      <c r="E42" s="313">
        <f ca="1">C34</f>
        <v>36234</v>
      </c>
      <c r="F42" s="314">
        <f ca="1">C35</f>
        <v>2416</v>
      </c>
      <c r="G42" s="307"/>
      <c r="H42" s="307"/>
      <c r="I42" s="315"/>
      <c r="J42" s="1911"/>
      <c r="K42" s="1223" t="s">
        <v>359</v>
      </c>
      <c r="L42" s="1928" t="s">
        <v>360</v>
      </c>
      <c r="M42" s="1224" t="s">
        <v>361</v>
      </c>
      <c r="N42" s="1929" t="s">
        <v>362</v>
      </c>
      <c r="O42" s="1930" t="s">
        <v>363</v>
      </c>
      <c r="P42" s="1909"/>
      <c r="V42" s="1909"/>
    </row>
    <row r="43" spans="1:26" ht="30">
      <c r="A43" s="3514" t="s">
        <v>2708</v>
      </c>
      <c r="B43" s="3515"/>
      <c r="C43" s="260">
        <f>IF(H33="正常操作",G33+G34+G35,G34+G35)</f>
        <v>0</v>
      </c>
      <c r="D43" s="313" t="s">
        <v>43</v>
      </c>
      <c r="E43" s="313" t="s">
        <v>44</v>
      </c>
      <c r="F43" s="314" t="s">
        <v>44</v>
      </c>
      <c r="G43" s="2581" t="s">
        <v>941</v>
      </c>
      <c r="H43" s="307"/>
      <c r="I43" s="315"/>
      <c r="J43" s="1911"/>
      <c r="K43" s="1225" t="str">
        <f>C4</f>
        <v>基准地价办公</v>
      </c>
      <c r="L43" s="1226">
        <f ca="1">IF(L42="估价结果/万元",C19,C20)</f>
        <v>19878</v>
      </c>
      <c r="M43" s="1227">
        <f>C18</f>
        <v>0.3</v>
      </c>
      <c r="N43" s="1228">
        <f ca="1">IF(N42="测算结果/万元",G19,G20)</f>
        <v>19931</v>
      </c>
      <c r="O43" s="1229">
        <f ca="1">IF(O42="最终结果/万元",C32,C33)</f>
        <v>19931</v>
      </c>
      <c r="P43" s="1909"/>
      <c r="V43" s="1909"/>
    </row>
    <row r="44" spans="1:26" ht="18.75" thickBot="1">
      <c r="A44" s="3503" t="str">
        <f>IF(OR(项目基本情况!E8="抵押价格",项目基本情况!E8="已注销及未注销"),"3.抵押价格","——")</f>
        <v>——</v>
      </c>
      <c r="B44" s="3504"/>
      <c r="C44" s="260" t="str">
        <f>IF(A44="——","——",C42-C43)</f>
        <v>——</v>
      </c>
      <c r="D44" s="313" t="e">
        <f>ROUND(C44*10000/'数据-汇总表'!E3,0)</f>
        <v>#VALUE!</v>
      </c>
      <c r="E44" s="313" t="e">
        <f>ROUND(C44*10000/'数据-汇总表'!D3,0)</f>
        <v>#VALUE!</v>
      </c>
      <c r="F44" s="314" t="e">
        <f>ROUND(C44/('数据-汇总表'!D3/666.67),0)</f>
        <v>#VALUE!</v>
      </c>
      <c r="G44" s="307"/>
      <c r="H44" s="307"/>
      <c r="I44" s="315"/>
      <c r="J44" s="1911"/>
      <c r="K44" s="1230" t="str">
        <f>D4</f>
        <v>剩余法办公</v>
      </c>
      <c r="L44" s="1231">
        <f ca="1">IF(L42="估价结果/万元",D19,D20)</f>
        <v>19953</v>
      </c>
      <c r="M44" s="1232">
        <f>D18</f>
        <v>0.7</v>
      </c>
      <c r="N44" s="1233"/>
      <c r="O44" s="1234"/>
      <c r="P44" s="1909"/>
      <c r="V44" s="1909"/>
    </row>
    <row r="45" spans="1:26" ht="15">
      <c r="A45" s="3509" t="str">
        <f>IF(项目基本情况!E8="已注销及未注销","4.抵押担保权已注销时的抵押价格",IF(项目基本情况!E8="已注销","3.抵押担保权已注销时的抵押价格","——"))</f>
        <v>——</v>
      </c>
      <c r="B45" s="3510"/>
      <c r="C45" s="171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1"/>
      <c r="K45" s="1909"/>
      <c r="L45" s="1909"/>
      <c r="M45" s="1909"/>
      <c r="N45" s="1909"/>
      <c r="O45" s="1909"/>
      <c r="P45" s="1909"/>
      <c r="V45" s="1909"/>
    </row>
    <row r="46" spans="1:26" ht="15.75" thickBot="1">
      <c r="A46" s="3505" t="str">
        <f>IF(项目基本情况!E9="抵押净值",IF(A45="——","4.抵押净值","5.抵押净值"),"——")</f>
        <v>——</v>
      </c>
      <c r="B46" s="3506"/>
      <c r="C46" s="316" t="str">
        <f>IF(A46="——","——",O79)</f>
        <v>——</v>
      </c>
      <c r="D46" s="313" t="e">
        <f>ROUND(C46*10000/'数据-汇总表'!E3,0)</f>
        <v>#VALUE!</v>
      </c>
      <c r="E46" s="313" t="e">
        <f>ROUND(C46*10000/'数据-汇总表'!D3,0)</f>
        <v>#VALUE!</v>
      </c>
      <c r="F46" s="314" t="e">
        <f>ROUND(C46/('数据-汇总表'!D3/666.67),0)</f>
        <v>#VALUE!</v>
      </c>
      <c r="G46" s="307"/>
      <c r="H46" s="307"/>
      <c r="I46" s="315"/>
      <c r="J46" s="1911"/>
      <c r="K46" s="1909"/>
      <c r="L46" s="1909"/>
      <c r="M46" s="1909"/>
      <c r="N46" s="1909"/>
      <c r="O46" s="1909"/>
      <c r="P46" s="1909"/>
      <c r="Q46" s="1909"/>
      <c r="R46" s="1909"/>
      <c r="S46" s="1909"/>
      <c r="T46" s="1909"/>
      <c r="U46" s="1909"/>
      <c r="V46" s="1909"/>
    </row>
    <row r="47" spans="1:26" ht="15.75">
      <c r="A47" s="317" t="s">
        <v>364</v>
      </c>
      <c r="B47" s="1235"/>
      <c r="C47" s="318" t="s">
        <v>365</v>
      </c>
      <c r="D47" s="319"/>
      <c r="E47" s="319"/>
      <c r="F47" s="319"/>
      <c r="G47" s="320"/>
      <c r="H47" s="321"/>
      <c r="I47" s="322"/>
      <c r="J47" s="1911"/>
      <c r="K47" s="307"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3">
        <v>1</v>
      </c>
      <c r="B48" s="324"/>
      <c r="C48" s="324"/>
      <c r="D48" s="319"/>
      <c r="E48" s="319"/>
      <c r="F48" s="319"/>
      <c r="G48" s="319"/>
      <c r="H48" s="325"/>
      <c r="I48" s="326"/>
      <c r="J48" s="1911"/>
      <c r="K48" s="1909"/>
      <c r="L48" s="1909"/>
      <c r="M48" s="1909"/>
      <c r="N48" s="1909"/>
      <c r="O48" s="1909"/>
      <c r="P48" s="1909"/>
      <c r="Q48" s="1909"/>
      <c r="R48" s="1909"/>
      <c r="S48" s="1909"/>
      <c r="T48" s="1909"/>
      <c r="U48" s="1909"/>
      <c r="V48" s="1909"/>
    </row>
    <row r="49" spans="1:22" ht="12.75">
      <c r="A49" s="323">
        <v>2</v>
      </c>
      <c r="B49" s="324"/>
      <c r="C49" s="324"/>
      <c r="D49" s="319"/>
      <c r="E49" s="319"/>
      <c r="F49" s="319"/>
      <c r="G49" s="319"/>
      <c r="H49" s="325"/>
      <c r="I49" s="326"/>
      <c r="J49" s="1912"/>
      <c r="K49" s="1909"/>
      <c r="L49" s="1909"/>
      <c r="M49" s="1909"/>
      <c r="N49" s="1909"/>
      <c r="O49" s="1909"/>
      <c r="P49" s="1909"/>
      <c r="Q49" s="1909"/>
      <c r="R49" s="1909"/>
      <c r="S49" s="1909"/>
      <c r="T49" s="1909"/>
      <c r="U49" s="1909"/>
      <c r="V49" s="1909"/>
    </row>
    <row r="50" spans="1:22" ht="12.75">
      <c r="A50" s="323">
        <v>3</v>
      </c>
      <c r="B50" s="324"/>
      <c r="C50" s="324"/>
      <c r="D50" s="319"/>
      <c r="E50" s="319"/>
      <c r="F50" s="319"/>
      <c r="G50" s="319"/>
      <c r="H50" s="325"/>
      <c r="I50" s="326"/>
      <c r="J50" s="1912"/>
      <c r="K50" s="1909"/>
      <c r="L50" s="1909"/>
      <c r="M50" s="1909"/>
      <c r="N50" s="1909"/>
      <c r="O50" s="1909"/>
      <c r="P50" s="1909"/>
      <c r="Q50" s="1909"/>
      <c r="R50" s="1909"/>
      <c r="S50" s="1909"/>
      <c r="T50" s="1909"/>
      <c r="U50" s="1909"/>
      <c r="V50" s="1909"/>
    </row>
    <row r="51" spans="1:22" ht="12.75">
      <c r="A51" s="327"/>
      <c r="B51" s="328"/>
      <c r="C51" s="328"/>
      <c r="D51" s="329"/>
      <c r="E51" s="329"/>
      <c r="F51" s="329"/>
      <c r="G51" s="329"/>
      <c r="H51" s="330"/>
      <c r="I51" s="331"/>
      <c r="J51" s="1912"/>
      <c r="K51" s="1909"/>
      <c r="L51" s="1909"/>
      <c r="M51" s="1909"/>
      <c r="N51" s="1909"/>
      <c r="O51" s="1909"/>
      <c r="P51" s="1909"/>
      <c r="Q51" s="1909"/>
      <c r="R51" s="1909"/>
      <c r="S51" s="1909"/>
      <c r="T51" s="1909"/>
      <c r="U51" s="1909"/>
      <c r="V51" s="1909"/>
    </row>
    <row r="52" spans="1:22" ht="12.75">
      <c r="A52" s="324"/>
      <c r="B52" s="324"/>
      <c r="C52" s="324"/>
      <c r="D52" s="319"/>
      <c r="E52" s="319"/>
      <c r="F52" s="319"/>
      <c r="G52" s="319"/>
      <c r="H52" s="325"/>
      <c r="I52" s="253"/>
      <c r="J52" s="1912"/>
      <c r="K52" s="1909"/>
      <c r="L52" s="1909"/>
      <c r="M52" s="1909"/>
      <c r="N52" s="1909"/>
      <c r="O52" s="1909"/>
      <c r="P52" s="1909"/>
      <c r="Q52" s="1909"/>
      <c r="R52" s="1909"/>
      <c r="S52" s="1909"/>
      <c r="T52" s="1909"/>
      <c r="U52" s="1909"/>
      <c r="V52" s="1909"/>
    </row>
    <row r="53" spans="1:22" ht="12.75">
      <c r="A53" s="253"/>
      <c r="B53" s="253"/>
      <c r="C53" s="253"/>
      <c r="D53" s="253"/>
      <c r="E53" s="253"/>
      <c r="F53" s="332" t="s">
        <v>366</v>
      </c>
      <c r="G53" s="333"/>
      <c r="H53" s="333"/>
      <c r="I53" s="334" t="s">
        <v>367</v>
      </c>
      <c r="J53" s="1912"/>
      <c r="K53" s="1909"/>
      <c r="L53" s="1909"/>
      <c r="M53" s="1909"/>
      <c r="N53" s="1909"/>
      <c r="O53" s="1909"/>
      <c r="P53" s="1909"/>
      <c r="Q53" s="1909"/>
      <c r="R53" s="1909"/>
      <c r="S53" s="1909"/>
      <c r="T53" s="1909"/>
      <c r="U53" s="1909"/>
      <c r="V53" s="1909"/>
    </row>
    <row r="54" spans="1:22" ht="12.75">
      <c r="A54" s="253"/>
      <c r="B54" s="335" t="s">
        <v>368</v>
      </c>
      <c r="C54" s="253"/>
      <c r="D54" s="253"/>
      <c r="E54" s="253"/>
      <c r="F54" s="253"/>
      <c r="G54" s="253"/>
      <c r="H54" s="253"/>
      <c r="I54" s="253"/>
      <c r="J54" s="1912"/>
      <c r="K54" s="1909"/>
      <c r="L54" s="1909"/>
      <c r="M54" s="1909"/>
      <c r="N54" s="1909"/>
      <c r="O54" s="1909"/>
      <c r="P54" s="1909"/>
      <c r="Q54" s="1909"/>
      <c r="R54" s="1909"/>
      <c r="S54" s="1909"/>
      <c r="T54" s="1909"/>
      <c r="U54" s="1909"/>
      <c r="V54" s="1909"/>
    </row>
    <row r="55" spans="1:22" ht="12.75">
      <c r="A55" s="253"/>
      <c r="B55" s="253"/>
      <c r="C55" s="253"/>
      <c r="D55" s="253"/>
      <c r="E55" s="253"/>
      <c r="F55" s="253"/>
      <c r="G55" s="253"/>
      <c r="H55" s="253"/>
      <c r="I55" s="253"/>
      <c r="J55" s="1912"/>
      <c r="K55" s="1909"/>
      <c r="L55" s="1909"/>
      <c r="M55" s="1909"/>
      <c r="N55" s="1909"/>
      <c r="O55" s="1909"/>
      <c r="P55" s="1909"/>
      <c r="Q55" s="1909"/>
      <c r="R55" s="1909"/>
      <c r="S55" s="1909"/>
      <c r="T55" s="1909"/>
      <c r="U55" s="1909"/>
      <c r="V55" s="1909"/>
    </row>
    <row r="56" spans="1:22" ht="12.75">
      <c r="A56" s="253"/>
      <c r="B56" s="333"/>
      <c r="C56" s="333"/>
      <c r="D56" s="333"/>
      <c r="E56" s="333"/>
      <c r="F56" s="333"/>
      <c r="G56" s="333"/>
      <c r="H56" s="333"/>
      <c r="I56" s="334" t="s">
        <v>369</v>
      </c>
      <c r="J56" s="1912"/>
      <c r="K56" s="1909"/>
      <c r="L56" s="1909"/>
      <c r="M56" s="1909"/>
      <c r="N56" s="1909"/>
      <c r="O56" s="1909"/>
      <c r="P56" s="1909"/>
      <c r="Q56" s="1909"/>
      <c r="R56" s="1909"/>
      <c r="S56" s="1909"/>
      <c r="T56" s="1909"/>
      <c r="U56" s="1909"/>
      <c r="V56" s="1909"/>
    </row>
    <row r="57" spans="1:22" ht="12.75">
      <c r="A57" s="253"/>
      <c r="B57" s="335" t="s">
        <v>370</v>
      </c>
      <c r="C57" s="253"/>
      <c r="D57" s="253"/>
      <c r="E57" s="253"/>
      <c r="F57" s="253"/>
      <c r="G57" s="253"/>
      <c r="H57" s="253"/>
      <c r="I57" s="253"/>
      <c r="J57" s="1912"/>
      <c r="K57" s="1909"/>
      <c r="L57" s="1909"/>
      <c r="M57" s="1909"/>
      <c r="N57" s="1909"/>
      <c r="O57" s="1909"/>
      <c r="P57" s="1909"/>
      <c r="Q57" s="1909"/>
      <c r="R57" s="1909"/>
      <c r="S57" s="1909"/>
      <c r="T57" s="1909"/>
      <c r="U57" s="1909"/>
      <c r="V57" s="1909"/>
    </row>
    <row r="58" spans="1:22" ht="12.75">
      <c r="A58" s="253"/>
      <c r="B58" s="335"/>
      <c r="C58" s="253"/>
      <c r="D58" s="253"/>
      <c r="E58" s="253"/>
      <c r="F58" s="253"/>
      <c r="G58" s="253"/>
      <c r="H58" s="253"/>
      <c r="I58" s="253"/>
      <c r="J58" s="1912"/>
      <c r="K58" s="1909"/>
      <c r="L58" s="1909"/>
      <c r="M58" s="1909"/>
      <c r="N58" s="1909"/>
      <c r="O58" s="1909"/>
      <c r="P58" s="1909"/>
      <c r="Q58" s="1909"/>
      <c r="R58" s="1909"/>
      <c r="S58" s="1909"/>
      <c r="T58" s="1909"/>
      <c r="U58" s="1909"/>
      <c r="V58" s="1909"/>
    </row>
    <row r="59" spans="1:22" ht="12.75">
      <c r="A59" s="253"/>
      <c r="B59" s="333"/>
      <c r="C59" s="333"/>
      <c r="D59" s="333"/>
      <c r="E59" s="333"/>
      <c r="F59" s="333"/>
      <c r="G59" s="333"/>
      <c r="H59" s="333"/>
      <c r="I59" s="334" t="s">
        <v>369</v>
      </c>
      <c r="J59" s="1912"/>
      <c r="K59" s="1909"/>
      <c r="L59" s="1909"/>
      <c r="M59" s="1909"/>
      <c r="N59" s="1909"/>
      <c r="O59" s="1909"/>
      <c r="P59" s="1909"/>
      <c r="Q59" s="1909"/>
      <c r="R59" s="1909"/>
      <c r="S59" s="1909"/>
      <c r="T59" s="1909"/>
      <c r="U59" s="1909"/>
      <c r="V59" s="1909"/>
    </row>
    <row r="60" spans="1:22" ht="12.75">
      <c r="A60" s="253"/>
      <c r="B60" s="253"/>
      <c r="C60" s="253"/>
      <c r="D60" s="253"/>
      <c r="E60" s="253"/>
      <c r="F60" s="253"/>
      <c r="G60" s="253"/>
      <c r="H60" s="253"/>
      <c r="I60" s="253"/>
      <c r="J60" s="1912"/>
      <c r="K60" s="1909"/>
      <c r="L60" s="1909"/>
      <c r="M60" s="1909"/>
      <c r="N60" s="1909"/>
      <c r="O60" s="1909"/>
      <c r="P60" s="1909"/>
      <c r="Q60" s="1909"/>
      <c r="R60" s="1909"/>
      <c r="S60" s="1909"/>
      <c r="T60" s="1909"/>
      <c r="U60" s="1909"/>
      <c r="V60" s="1909"/>
    </row>
    <row r="61" spans="1:22" ht="12.75">
      <c r="A61" s="253"/>
      <c r="B61" s="335"/>
      <c r="C61" s="336"/>
      <c r="D61" s="213"/>
      <c r="E61" s="213"/>
      <c r="F61" s="249"/>
      <c r="G61" s="253"/>
      <c r="H61" s="253"/>
      <c r="I61" s="253"/>
      <c r="J61" s="1912"/>
      <c r="K61" s="1909"/>
      <c r="L61" s="1909"/>
      <c r="M61" s="1909"/>
      <c r="N61" s="1909"/>
      <c r="O61" s="1909"/>
      <c r="P61" s="1909"/>
      <c r="Q61" s="1909"/>
      <c r="R61" s="1909"/>
      <c r="S61" s="1909"/>
      <c r="T61" s="1909"/>
      <c r="U61" s="1909"/>
      <c r="V61" s="1909"/>
    </row>
    <row r="62" spans="1:22" ht="18.75">
      <c r="A62" s="1236" t="s">
        <v>371</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553" t="s">
        <v>372</v>
      </c>
      <c r="B63" s="3554"/>
      <c r="C63" s="3555"/>
      <c r="D63" s="337">
        <f ca="1">ROUND(C42*F63,0)</f>
        <v>19931</v>
      </c>
      <c r="E63" s="298" t="s">
        <v>373</v>
      </c>
      <c r="F63" s="338">
        <v>1</v>
      </c>
      <c r="G63" s="339" t="s">
        <v>374</v>
      </c>
      <c r="H63" s="307"/>
      <c r="I63" s="307"/>
      <c r="J63" s="1909"/>
      <c r="K63" s="1909"/>
      <c r="L63" s="1909"/>
      <c r="M63" s="1909"/>
      <c r="N63" s="1909"/>
      <c r="O63" s="1909"/>
      <c r="P63" s="1909"/>
      <c r="Q63" s="1909"/>
      <c r="R63" s="1909"/>
      <c r="S63" s="1909"/>
      <c r="T63" s="1909"/>
      <c r="U63" s="1909"/>
      <c r="V63" s="1909"/>
    </row>
    <row r="64" spans="1:22" ht="14.25" customHeight="1">
      <c r="A64" s="3511" t="s">
        <v>376</v>
      </c>
      <c r="B64" s="3512"/>
      <c r="C64" s="3512"/>
      <c r="D64" s="3512"/>
      <c r="E64" s="3512"/>
      <c r="F64" s="3512"/>
      <c r="G64" s="3513"/>
      <c r="H64" s="1240"/>
      <c r="I64" s="935"/>
      <c r="J64" s="1900"/>
      <c r="K64" s="1497" t="s">
        <v>375</v>
      </c>
      <c r="L64" s="11"/>
      <c r="M64" s="11"/>
      <c r="N64" s="11"/>
      <c r="O64" s="11"/>
      <c r="P64" s="307"/>
      <c r="Q64" s="1909"/>
      <c r="R64" s="1909"/>
      <c r="S64" s="1909"/>
      <c r="T64" s="1909"/>
      <c r="U64" s="1909"/>
      <c r="V64" s="1909"/>
    </row>
    <row r="65" spans="1:22" ht="12" customHeight="1">
      <c r="A65" s="340" t="s">
        <v>378</v>
      </c>
      <c r="B65" s="341"/>
      <c r="C65" s="342"/>
      <c r="D65" s="343" t="s">
        <v>379</v>
      </c>
      <c r="E65" s="52" t="s">
        <v>380</v>
      </c>
      <c r="F65" s="344" t="s">
        <v>381</v>
      </c>
      <c r="G65" s="345" t="s">
        <v>382</v>
      </c>
      <c r="H65" s="1240"/>
      <c r="I65" s="935"/>
      <c r="J65" s="1900"/>
      <c r="K65" s="1241"/>
      <c r="L65" s="1242"/>
      <c r="M65" s="1242"/>
      <c r="N65" s="1274" t="s">
        <v>377</v>
      </c>
      <c r="O65" s="1275"/>
      <c r="P65" s="1276"/>
      <c r="Q65" s="1909"/>
      <c r="R65" s="1909"/>
      <c r="S65" s="1909"/>
      <c r="T65" s="1909"/>
      <c r="U65" s="1909"/>
      <c r="V65" s="1909"/>
    </row>
    <row r="66" spans="1:22" ht="25.5">
      <c r="A66" s="3507" t="s">
        <v>384</v>
      </c>
      <c r="B66" s="3508"/>
      <c r="C66" s="3508"/>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5"/>
      <c r="K66" s="1243">
        <v>1</v>
      </c>
      <c r="L66" s="3568" t="s">
        <v>383</v>
      </c>
      <c r="M66" s="3569"/>
      <c r="N66" s="2310"/>
      <c r="O66" s="2311"/>
      <c r="P66" s="2312"/>
      <c r="Q66" s="1909"/>
      <c r="R66" s="1909"/>
      <c r="S66" s="1909"/>
      <c r="T66" s="1909"/>
      <c r="U66" s="1909"/>
      <c r="V66" s="1909"/>
    </row>
    <row r="67" spans="1:22" ht="25.5" customHeight="1">
      <c r="A67" s="348" t="s">
        <v>387</v>
      </c>
      <c r="B67" s="3498" t="s">
        <v>388</v>
      </c>
      <c r="C67" s="3498"/>
      <c r="D67" s="349">
        <v>0</v>
      </c>
      <c r="E67" s="40" t="s">
        <v>389</v>
      </c>
      <c r="F67" s="61" t="s">
        <v>21</v>
      </c>
      <c r="G67" s="3556"/>
      <c r="H67" s="3004" t="s">
        <v>2959</v>
      </c>
      <c r="I67" s="3006"/>
      <c r="J67" s="1916"/>
      <c r="K67" s="1888">
        <v>2</v>
      </c>
      <c r="L67" s="3562" t="s">
        <v>386</v>
      </c>
      <c r="M67" s="3562"/>
      <c r="N67" s="1277">
        <f>'数据-取费表'!B2</f>
        <v>44424</v>
      </c>
      <c r="O67" s="1277"/>
      <c r="P67" s="1277"/>
      <c r="Q67" s="1909"/>
      <c r="R67" s="1909"/>
      <c r="S67" s="1909"/>
      <c r="T67" s="1909"/>
      <c r="U67" s="1909"/>
      <c r="V67" s="1909"/>
    </row>
    <row r="68" spans="1:22" ht="25.5" customHeight="1">
      <c r="A68" s="350"/>
      <c r="B68" s="3498" t="s">
        <v>391</v>
      </c>
      <c r="C68" s="3498"/>
      <c r="D68" s="351"/>
      <c r="E68" s="76"/>
      <c r="F68" s="352"/>
      <c r="G68" s="3557"/>
      <c r="H68" s="3005" t="s">
        <v>2960</v>
      </c>
      <c r="I68" s="3006"/>
      <c r="J68" s="1916"/>
      <c r="K68" s="1888">
        <v>3</v>
      </c>
      <c r="L68" s="3562" t="s">
        <v>390</v>
      </c>
      <c r="M68" s="3562"/>
      <c r="N68" s="1245">
        <f ca="1">C42</f>
        <v>19931</v>
      </c>
      <c r="O68" s="1245"/>
      <c r="P68" s="1245"/>
      <c r="Q68" s="1909"/>
      <c r="R68" s="1909"/>
      <c r="S68" s="1909"/>
      <c r="T68" s="1909"/>
      <c r="U68" s="1909"/>
      <c r="V68" s="1909"/>
    </row>
    <row r="69" spans="1:22" ht="23.45" customHeight="1">
      <c r="A69" s="353"/>
      <c r="B69" s="3498" t="s">
        <v>392</v>
      </c>
      <c r="C69" s="3498"/>
      <c r="D69" s="354"/>
      <c r="E69" s="72"/>
      <c r="F69" s="352"/>
      <c r="G69" s="3558"/>
      <c r="H69" s="3005" t="s">
        <v>2961</v>
      </c>
      <c r="I69" s="3006"/>
      <c r="J69" s="1916"/>
      <c r="K69" s="1246">
        <v>4</v>
      </c>
      <c r="L69" s="3572" t="s">
        <v>2860</v>
      </c>
      <c r="M69" s="3573"/>
      <c r="N69" s="1247" t="str">
        <f>C44</f>
        <v>——</v>
      </c>
      <c r="O69" s="1247"/>
      <c r="P69" s="1247"/>
      <c r="Q69" s="1909"/>
      <c r="R69" s="1909"/>
      <c r="S69" s="1909"/>
      <c r="T69" s="1909"/>
      <c r="U69" s="1909"/>
      <c r="V69" s="1909"/>
    </row>
    <row r="70" spans="1:22" ht="24" customHeight="1">
      <c r="A70" s="355" t="s">
        <v>393</v>
      </c>
      <c r="B70" s="3498" t="s">
        <v>394</v>
      </c>
      <c r="C70" s="3498"/>
      <c r="D70" s="354">
        <f ca="1">ROUND(D63*'数据-取费表'!B41/(1+'数据-取费表'!C42),0)</f>
        <v>1044</v>
      </c>
      <c r="E70" s="17" t="s">
        <v>395</v>
      </c>
      <c r="F70" s="356">
        <f>'数据-取费表'!B41</f>
        <v>5.5000000000000007E-2</v>
      </c>
      <c r="G70" s="357"/>
      <c r="H70" s="307"/>
      <c r="I70" s="1244"/>
      <c r="J70" s="1916"/>
      <c r="K70" s="2763"/>
      <c r="L70" s="2764"/>
      <c r="M70" s="2764"/>
      <c r="N70" s="2765" t="s">
        <v>2864</v>
      </c>
      <c r="O70" s="2764"/>
      <c r="P70" s="2766"/>
      <c r="Q70" s="1909"/>
      <c r="R70" s="1909"/>
      <c r="S70" s="1909"/>
      <c r="T70" s="1909"/>
      <c r="U70" s="1909"/>
      <c r="V70" s="1909"/>
    </row>
    <row r="71" spans="1:22" ht="12" customHeight="1">
      <c r="A71" s="355" t="s">
        <v>401</v>
      </c>
      <c r="B71" s="3499" t="s">
        <v>2990</v>
      </c>
      <c r="C71" s="3500"/>
      <c r="D71" s="354">
        <f ca="1">ROUND(D63*'数据-取费表'!B41/(1+'数据-取费表'!C42),0)</f>
        <v>1044</v>
      </c>
      <c r="E71" s="17" t="s">
        <v>395</v>
      </c>
      <c r="F71" s="356">
        <f>'数据-取费表'!B41</f>
        <v>5.5000000000000007E-2</v>
      </c>
      <c r="G71" s="357"/>
      <c r="H71" s="307"/>
      <c r="I71" s="1244"/>
      <c r="J71" s="1916"/>
      <c r="K71" s="2762" t="s">
        <v>396</v>
      </c>
      <c r="L71" s="3574" t="s">
        <v>397</v>
      </c>
      <c r="M71" s="3574"/>
      <c r="N71" s="2762" t="s">
        <v>398</v>
      </c>
      <c r="O71" s="2762" t="s">
        <v>399</v>
      </c>
      <c r="P71" s="2762" t="s">
        <v>400</v>
      </c>
      <c r="Q71" s="1909"/>
      <c r="R71" s="1909"/>
      <c r="S71" s="1909"/>
      <c r="T71" s="1909"/>
      <c r="U71" s="1909"/>
      <c r="V71" s="1909"/>
    </row>
    <row r="72" spans="1:22" ht="12" customHeight="1">
      <c r="A72" s="355" t="s">
        <v>403</v>
      </c>
      <c r="B72" s="3499" t="s">
        <v>2991</v>
      </c>
      <c r="C72" s="3500"/>
      <c r="D72" s="354">
        <f ca="1">C86</f>
        <v>1044</v>
      </c>
      <c r="E72" s="72" t="s">
        <v>404</v>
      </c>
      <c r="F72" s="356">
        <f>'数据-取费表'!B41</f>
        <v>5.5000000000000007E-2</v>
      </c>
      <c r="G72" s="357"/>
      <c r="H72" s="1250"/>
      <c r="I72" s="1244"/>
      <c r="J72" s="1916"/>
      <c r="K72" s="1888">
        <v>1</v>
      </c>
      <c r="L72" s="3549" t="s">
        <v>402</v>
      </c>
      <c r="M72" s="3549"/>
      <c r="N72" s="1248" t="b">
        <f>D66</f>
        <v>0</v>
      </c>
      <c r="O72" s="1771" t="str">
        <f>E66</f>
        <v>销售额×税（费）率</v>
      </c>
      <c r="P72" s="1249">
        <f>F66</f>
        <v>5.5000000000000007E-2</v>
      </c>
      <c r="Q72" s="1909"/>
      <c r="R72" s="1909"/>
      <c r="S72" s="1909"/>
      <c r="T72" s="1909"/>
      <c r="U72" s="1909"/>
      <c r="V72" s="1909"/>
    </row>
    <row r="73" spans="1:22" ht="24" customHeight="1">
      <c r="A73" s="3544" t="s">
        <v>406</v>
      </c>
      <c r="B73" s="3508"/>
      <c r="C73" s="3508"/>
      <c r="D73" s="358">
        <f ca="1">IF(H73="个人住宅",0,ROUND(D63*I73,0))</f>
        <v>10</v>
      </c>
      <c r="E73" s="17" t="s">
        <v>407</v>
      </c>
      <c r="F73" s="356" t="str">
        <f>IF(H73="正常",I73,"免征")</f>
        <v>免征</v>
      </c>
      <c r="G73" s="357"/>
      <c r="H73" s="188"/>
      <c r="I73" s="356">
        <f>'数据-取费表'!B49</f>
        <v>5.0000000000000001E-4</v>
      </c>
      <c r="J73" s="1916"/>
      <c r="K73" s="1888">
        <v>2</v>
      </c>
      <c r="L73" s="3549" t="s">
        <v>405</v>
      </c>
      <c r="M73" s="3549"/>
      <c r="N73" s="1248">
        <f t="shared" ref="N73:P74" ca="1" si="1">D73</f>
        <v>10</v>
      </c>
      <c r="O73" s="1771" t="str">
        <f t="shared" si="1"/>
        <v>销售额×税（费）率</v>
      </c>
      <c r="P73" s="1249" t="str">
        <f t="shared" si="1"/>
        <v>免征</v>
      </c>
      <c r="Q73" s="1909"/>
      <c r="R73" s="1909"/>
      <c r="S73" s="1909"/>
      <c r="T73" s="1909"/>
      <c r="U73" s="1909"/>
      <c r="V73" s="1909"/>
    </row>
    <row r="74" spans="1:22" ht="24.75">
      <c r="A74" s="3544" t="s">
        <v>409</v>
      </c>
      <c r="B74" s="3508"/>
      <c r="C74" s="3508"/>
      <c r="D74" s="358">
        <f ca="1">IF(H74="个人住宅",D75,D76)</f>
        <v>11299</v>
      </c>
      <c r="E74" s="17" t="s">
        <v>410</v>
      </c>
      <c r="F74" s="356" t="str">
        <f>IF(H74="正常",F76,"免征")</f>
        <v>免征</v>
      </c>
      <c r="G74" s="969" t="s">
        <v>411</v>
      </c>
      <c r="H74" s="359"/>
      <c r="I74" s="41"/>
      <c r="J74" s="1916"/>
      <c r="K74" s="1888">
        <v>3</v>
      </c>
      <c r="L74" s="3549" t="s">
        <v>408</v>
      </c>
      <c r="M74" s="3549"/>
      <c r="N74" s="1248">
        <f t="shared" ca="1" si="1"/>
        <v>11299</v>
      </c>
      <c r="O74" s="1771" t="str">
        <f t="shared" si="1"/>
        <v>增值额×税（费）率</v>
      </c>
      <c r="P74" s="1251" t="str">
        <f t="shared" si="1"/>
        <v>免征</v>
      </c>
      <c r="Q74" s="1909"/>
      <c r="R74" s="1909"/>
      <c r="S74" s="1909"/>
      <c r="T74" s="1909"/>
      <c r="U74" s="1909"/>
      <c r="V74" s="1909"/>
    </row>
    <row r="75" spans="1:22" ht="12.75">
      <c r="A75" s="355" t="s">
        <v>412</v>
      </c>
      <c r="B75" s="3496" t="s">
        <v>413</v>
      </c>
      <c r="C75" s="3532"/>
      <c r="D75" s="360">
        <v>0</v>
      </c>
      <c r="E75" s="40" t="s">
        <v>414</v>
      </c>
      <c r="F75" s="361"/>
      <c r="G75" s="357"/>
      <c r="H75" s="41"/>
      <c r="I75" s="41"/>
      <c r="J75" s="1916"/>
      <c r="K75" s="2756">
        <f>IF(H77="非个人房产","",4)</f>
        <v>4</v>
      </c>
      <c r="L75" s="3549" t="str">
        <f>IF(H77="非个人房产","——","个人所得税")</f>
        <v>个人所得税</v>
      </c>
      <c r="M75" s="3549"/>
      <c r="N75" s="1252">
        <f>D77</f>
        <v>0</v>
      </c>
      <c r="O75" s="1784" t="str">
        <f>E77</f>
        <v>差额计税</v>
      </c>
      <c r="P75" s="1253">
        <f>F77</f>
        <v>0.01</v>
      </c>
      <c r="Q75" s="1909"/>
      <c r="R75" s="1909"/>
      <c r="S75" s="1909"/>
      <c r="T75" s="1909"/>
      <c r="U75" s="1909"/>
      <c r="V75" s="1909"/>
    </row>
    <row r="76" spans="1:22" ht="24.75">
      <c r="A76" s="355" t="s">
        <v>393</v>
      </c>
      <c r="B76" s="3496" t="s">
        <v>416</v>
      </c>
      <c r="C76" s="3497"/>
      <c r="D76" s="358">
        <f ca="1">IF(H76="转让取得",C99,C115)</f>
        <v>11299</v>
      </c>
      <c r="E76" s="17" t="s">
        <v>417</v>
      </c>
      <c r="F76" s="52" t="s">
        <v>21</v>
      </c>
      <c r="G76" s="357"/>
      <c r="H76" s="359"/>
      <c r="I76" s="41"/>
      <c r="J76" s="1916"/>
      <c r="K76" s="2756" t="str">
        <f>IF(项目基本情况!K6="上海银行",IF(K75="",4,K75+1),"")</f>
        <v/>
      </c>
      <c r="L76" s="3564" t="str">
        <f>IF(项目基本情况!K6="上海银行","其他处置费用","")</f>
        <v/>
      </c>
      <c r="M76" s="3565"/>
      <c r="N76" s="1248" t="str">
        <f>IF(项目基本情况!K6="上海银行",N89,"")</f>
        <v/>
      </c>
      <c r="O76" s="3566" t="str">
        <f>IF(项目基本情况!K6="上海银行","包含处置中涉及的律师、诉讼、拍卖、评估等费用","")</f>
        <v/>
      </c>
      <c r="P76" s="3567"/>
      <c r="Q76" s="1909"/>
      <c r="R76" s="1909"/>
      <c r="S76" s="1909"/>
      <c r="T76" s="1909"/>
      <c r="U76" s="1909"/>
      <c r="V76" s="1909"/>
    </row>
    <row r="77" spans="1:22" ht="24.75" thickBot="1">
      <c r="A77" s="3551" t="s">
        <v>419</v>
      </c>
      <c r="B77" s="3552"/>
      <c r="C77" s="3552"/>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0" t="s">
        <v>411</v>
      </c>
      <c r="H77" s="3008"/>
      <c r="I77" s="3007" t="s">
        <v>2962</v>
      </c>
      <c r="J77" s="1916"/>
      <c r="K77" s="3550">
        <f>IF(AND(K75="",K76=""),4,IF(项目基本情况!K6="上海银行",K76+1,K75+1))</f>
        <v>5</v>
      </c>
      <c r="L77" s="3549" t="s">
        <v>2861</v>
      </c>
      <c r="M77" s="2761" t="s">
        <v>415</v>
      </c>
      <c r="N77" s="1254"/>
      <c r="O77" s="1255">
        <f ca="1">SUMIF(N72:N76,"&lt;9e307")</f>
        <v>11309</v>
      </c>
      <c r="P77" s="1256"/>
      <c r="Q77" s="2759" t="e">
        <f ca="1">O77/N69</f>
        <v>#VALUE!</v>
      </c>
      <c r="R77" s="1909"/>
      <c r="S77" s="1909"/>
      <c r="T77" s="1909"/>
      <c r="U77" s="1909"/>
      <c r="V77" s="1909"/>
    </row>
    <row r="78" spans="1:22" ht="12" customHeight="1">
      <c r="A78" s="1257"/>
      <c r="B78" s="307"/>
      <c r="C78" s="307"/>
      <c r="D78" s="307"/>
      <c r="E78" s="41"/>
      <c r="F78" s="41"/>
      <c r="G78" s="41"/>
      <c r="H78" s="989"/>
      <c r="I78" s="307"/>
      <c r="J78" s="1916"/>
      <c r="K78" s="3550"/>
      <c r="L78" s="3549"/>
      <c r="M78" s="2761" t="s">
        <v>418</v>
      </c>
      <c r="N78" s="1254"/>
      <c r="O78" s="1255" t="str">
        <f ca="1">NUMBERSTRING(INT(O77*10000),2)&amp;"元整"</f>
        <v>壹亿壹仟叁佰零玖万元整</v>
      </c>
      <c r="P78" s="1256"/>
      <c r="Q78" s="1909"/>
      <c r="R78" s="1909"/>
      <c r="S78" s="1909"/>
      <c r="T78" s="1909"/>
      <c r="U78" s="1909"/>
      <c r="V78" s="1909"/>
    </row>
    <row r="79" spans="1:22" ht="13.5" thickBot="1">
      <c r="A79" s="3516" t="s">
        <v>420</v>
      </c>
      <c r="B79" s="3516"/>
      <c r="C79" s="3516"/>
      <c r="D79" s="3516"/>
      <c r="E79" s="3516"/>
      <c r="F79" s="41"/>
      <c r="G79" s="41"/>
      <c r="H79" s="989"/>
      <c r="I79" s="307"/>
      <c r="J79" s="1916"/>
      <c r="K79" s="3570">
        <f>K77+1</f>
        <v>6</v>
      </c>
      <c r="L79" s="3549" t="s">
        <v>2862</v>
      </c>
      <c r="M79" s="2761" t="s">
        <v>415</v>
      </c>
      <c r="N79" s="1254"/>
      <c r="O79" s="1255" t="e">
        <f ca="1">N69-O77</f>
        <v>#VALUE!</v>
      </c>
      <c r="P79" s="1256"/>
      <c r="Q79" s="1909"/>
      <c r="R79" s="1909"/>
      <c r="S79" s="1909"/>
      <c r="T79" s="1909"/>
      <c r="U79" s="1909"/>
      <c r="V79" s="1909"/>
    </row>
    <row r="80" spans="1:22" ht="12.75">
      <c r="A80" s="3517" t="s">
        <v>421</v>
      </c>
      <c r="B80" s="3518"/>
      <c r="C80" s="980"/>
      <c r="D80" s="980" t="s">
        <v>422</v>
      </c>
      <c r="E80" s="362" t="s">
        <v>423</v>
      </c>
      <c r="F80" s="41"/>
      <c r="G80" s="41"/>
      <c r="H80" s="989"/>
      <c r="I80" s="307"/>
      <c r="J80" s="1909"/>
      <c r="K80" s="3571"/>
      <c r="L80" s="3549"/>
      <c r="M80" s="2761" t="s">
        <v>418</v>
      </c>
      <c r="N80" s="1254"/>
      <c r="O80" s="1255" t="e">
        <f ca="1">NUMBERSTRING(INT(O79*10000),2)&amp;"元整"</f>
        <v>#VALUE!</v>
      </c>
      <c r="P80" s="1256"/>
      <c r="Q80" s="1909"/>
      <c r="R80" s="1909"/>
      <c r="S80" s="1909"/>
      <c r="T80" s="1909"/>
      <c r="U80" s="1909"/>
      <c r="V80" s="1909"/>
    </row>
    <row r="81" spans="1:26" ht="13.5" thickBot="1">
      <c r="A81" s="373" t="s">
        <v>1811</v>
      </c>
      <c r="B81" s="363" t="s">
        <v>424</v>
      </c>
      <c r="C81" s="364">
        <f ca="1">ROUND((C82+C83)/(1+'数据-取费表'!C42),0)</f>
        <v>18982</v>
      </c>
      <c r="D81" s="365"/>
      <c r="E81" s="366"/>
      <c r="F81" s="41"/>
      <c r="G81" s="41"/>
      <c r="H81" s="989"/>
      <c r="I81" s="307"/>
      <c r="J81" s="1909"/>
      <c r="K81" s="2756">
        <f>K79+1</f>
        <v>7</v>
      </c>
      <c r="L81" s="3547" t="s">
        <v>2863</v>
      </c>
      <c r="M81" s="3548"/>
      <c r="N81" s="1258"/>
      <c r="O81" s="1259" t="e">
        <f ca="1">ROUND(O79*10000/'数据-汇总表'!E3,0)</f>
        <v>#VALUE!</v>
      </c>
      <c r="P81" s="1260"/>
      <c r="Q81" s="1909"/>
      <c r="R81" s="1909"/>
      <c r="S81" s="1909"/>
      <c r="T81" s="1909"/>
      <c r="U81" s="1909"/>
      <c r="V81" s="1909"/>
    </row>
    <row r="82" spans="1:26" ht="13.5" thickTop="1">
      <c r="A82" s="367" t="s">
        <v>1812</v>
      </c>
      <c r="B82" s="368" t="s">
        <v>425</v>
      </c>
      <c r="C82" s="369">
        <f ca="1">D63</f>
        <v>19931</v>
      </c>
      <c r="D82" s="370" t="s">
        <v>19</v>
      </c>
      <c r="E82" s="371"/>
      <c r="F82" s="41"/>
      <c r="G82" s="41"/>
      <c r="H82" s="989"/>
      <c r="I82" s="307"/>
      <c r="J82" s="1909"/>
      <c r="K82" s="1909"/>
      <c r="L82" s="1909"/>
      <c r="M82" s="1909"/>
      <c r="N82" s="1909"/>
      <c r="O82" s="1909"/>
      <c r="P82" s="1909"/>
      <c r="Q82" s="1909"/>
      <c r="R82" s="1909"/>
      <c r="S82" s="1909"/>
      <c r="T82" s="1909"/>
      <c r="U82" s="1909"/>
      <c r="V82" s="1909"/>
    </row>
    <row r="83" spans="1:26" ht="12.75">
      <c r="A83" s="367" t="s">
        <v>1813</v>
      </c>
      <c r="B83" s="368" t="s">
        <v>426</v>
      </c>
      <c r="C83" s="372"/>
      <c r="D83" s="370"/>
      <c r="E83" s="371"/>
      <c r="F83" s="41"/>
      <c r="G83" s="41"/>
      <c r="H83" s="989"/>
      <c r="I83" s="307"/>
      <c r="J83" s="1909"/>
      <c r="K83" s="3563" t="s">
        <v>2851</v>
      </c>
      <c r="L83" s="2767" t="s">
        <v>2852</v>
      </c>
      <c r="M83" s="2757" t="e">
        <f>IF(N69&gt;10000,N69*0.5%,IF(AND(N69&gt;1000,N69&lt;=10000),N69*1%,IF(AND(N69&gt;100,N69&lt;=1000),N69*3%,IF(AND(N69&gt;10,N69&lt;=100),N69*5%,N69*8%))))</f>
        <v>#VALUE!</v>
      </c>
      <c r="N83" s="52" t="e">
        <f>ROUND(M83,1)</f>
        <v>#VALUE!</v>
      </c>
      <c r="O83" s="2760"/>
      <c r="P83" s="1909"/>
      <c r="Q83" s="1909"/>
      <c r="R83" s="1909"/>
      <c r="S83" s="1909"/>
      <c r="T83" s="1909"/>
      <c r="U83" s="1909"/>
      <c r="V83" s="1909"/>
    </row>
    <row r="84" spans="1:26" ht="12.75">
      <c r="A84" s="373" t="s">
        <v>1814</v>
      </c>
      <c r="B84" s="374" t="s">
        <v>427</v>
      </c>
      <c r="C84" s="375"/>
      <c r="D84" s="376" t="s">
        <v>19</v>
      </c>
      <c r="E84" s="2785" t="s">
        <v>2903</v>
      </c>
      <c r="F84" s="41"/>
      <c r="G84" s="41"/>
      <c r="H84" s="989"/>
      <c r="I84" s="307"/>
      <c r="J84" s="1909"/>
      <c r="K84" s="3563"/>
      <c r="L84" s="2767" t="s">
        <v>2853</v>
      </c>
      <c r="M84" s="2757"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9" t="s">
        <v>2854</v>
      </c>
      <c r="P84" s="1909"/>
      <c r="Q84" s="1909"/>
      <c r="R84" s="1909"/>
      <c r="S84" s="1909"/>
      <c r="T84" s="1909"/>
      <c r="U84" s="1909"/>
      <c r="V84" s="1909"/>
    </row>
    <row r="85" spans="1:26" ht="12.75">
      <c r="A85" s="373" t="s">
        <v>1815</v>
      </c>
      <c r="B85" s="374" t="s">
        <v>428</v>
      </c>
      <c r="C85" s="377">
        <f ca="1">C81-C84</f>
        <v>18982</v>
      </c>
      <c r="D85" s="370" t="s">
        <v>19</v>
      </c>
      <c r="E85" s="371"/>
      <c r="F85" s="41"/>
      <c r="G85" s="41"/>
      <c r="H85" s="989"/>
      <c r="I85" s="307"/>
      <c r="J85" s="1909"/>
      <c r="K85" s="3563"/>
      <c r="L85" s="2767" t="s">
        <v>2855</v>
      </c>
      <c r="M85" s="2757" t="e">
        <f>IF(N69&gt;1000,N69*0.1%,IF(AND(N69&gt;500,N69&lt;=1000),N69*0.5%,IF(AND(N69&gt;50,N69&lt;=500),N69*1%,IF(AND(N69&gt;1,N69&lt;=50),N69*1.5%))))</f>
        <v>#VALUE!</v>
      </c>
      <c r="N85" s="52" t="e">
        <f t="shared" si="2"/>
        <v>#VALUE!</v>
      </c>
      <c r="O85" s="1909" t="s">
        <v>2854</v>
      </c>
      <c r="P85" s="1909"/>
      <c r="Q85" s="1909"/>
      <c r="R85" s="1909"/>
      <c r="S85" s="1909"/>
      <c r="T85" s="1909"/>
      <c r="U85" s="1909"/>
      <c r="V85" s="1909"/>
    </row>
    <row r="86" spans="1:26" ht="13.5" thickBot="1">
      <c r="A86" s="378" t="s">
        <v>1816</v>
      </c>
      <c r="B86" s="379" t="s">
        <v>429</v>
      </c>
      <c r="C86" s="380">
        <f ca="1">IF(C85&lt;=0,0,ROUND(C85*D86,0))</f>
        <v>1044</v>
      </c>
      <c r="D86" s="381">
        <f>'数据-取费表'!B41</f>
        <v>5.5000000000000007E-2</v>
      </c>
      <c r="E86" s="382"/>
      <c r="F86" s="41"/>
      <c r="G86" s="41"/>
      <c r="H86" s="989"/>
      <c r="I86" s="307"/>
      <c r="J86" s="1909"/>
      <c r="K86" s="3563"/>
      <c r="L86" s="2767" t="s">
        <v>2856</v>
      </c>
      <c r="M86" s="2757" t="e">
        <f>N69*0.5%</f>
        <v>#VALUE!</v>
      </c>
      <c r="N86" s="52" t="e">
        <f>IF(M86&gt;0.5,0.5,ROUND(M86,0))</f>
        <v>#VALUE!</v>
      </c>
      <c r="O86" s="1909" t="s">
        <v>2857</v>
      </c>
      <c r="P86" s="1909"/>
      <c r="Q86" s="1909"/>
      <c r="R86" s="1909"/>
      <c r="S86" s="1909"/>
      <c r="T86" s="1909"/>
      <c r="U86" s="1909"/>
      <c r="V86" s="1909"/>
    </row>
    <row r="87" spans="1:26" s="1206" customFormat="1" ht="14.25" customHeight="1">
      <c r="A87" s="1261"/>
      <c r="B87" s="1262"/>
      <c r="C87" s="1263"/>
      <c r="D87" s="1264"/>
      <c r="E87" s="1265"/>
      <c r="F87" s="41"/>
      <c r="G87" s="41"/>
      <c r="H87" s="989"/>
      <c r="I87" s="307"/>
      <c r="J87" s="1909"/>
      <c r="K87" s="3563"/>
      <c r="L87" s="2767" t="s">
        <v>2858</v>
      </c>
      <c r="M87" s="2757"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60"/>
      <c r="P87" s="1909"/>
      <c r="Q87" s="1909"/>
      <c r="R87" s="1909"/>
      <c r="S87" s="1909"/>
      <c r="T87" s="1909"/>
      <c r="U87" s="1909"/>
      <c r="V87" s="1909"/>
      <c r="W87" s="288"/>
      <c r="X87" s="288"/>
      <c r="Y87" s="288"/>
      <c r="Z87" s="288"/>
    </row>
    <row r="88" spans="1:26" s="1266" customFormat="1" ht="15" thickBot="1">
      <c r="A88" s="3542" t="s">
        <v>430</v>
      </c>
      <c r="B88" s="3543"/>
      <c r="C88" s="3543"/>
      <c r="D88" s="3543"/>
      <c r="E88" s="3543"/>
      <c r="F88" s="3543"/>
      <c r="G88" s="3543"/>
      <c r="H88" s="3543"/>
      <c r="I88" s="1267"/>
      <c r="J88" s="1917"/>
      <c r="K88" s="3563"/>
      <c r="L88" s="2767" t="s">
        <v>2859</v>
      </c>
      <c r="M88" s="2757" t="e">
        <f>IF(N69&gt;10000,N69*0.5%,IF(AND(N69&gt;5000,N69&lt;=10000),N69*1%,IF(AND(N69&gt;1000,N69&lt;=5000),N69*2%,IF(AND(N69&gt;200,N69&lt;=1000),N69*3%,N69*5%))))</f>
        <v>#VALUE!</v>
      </c>
      <c r="N88" s="52" t="e">
        <f>ROUND(M88,1)</f>
        <v>#VALUE!</v>
      </c>
      <c r="O88" s="2760"/>
      <c r="P88" s="1914"/>
      <c r="Q88" s="1914"/>
      <c r="R88" s="1914"/>
      <c r="S88" s="1914"/>
      <c r="T88" s="1914"/>
      <c r="U88" s="1914"/>
      <c r="V88" s="1914"/>
      <c r="W88" s="1918"/>
      <c r="X88" s="1918"/>
      <c r="Y88" s="1918"/>
      <c r="Z88" s="1918"/>
    </row>
    <row r="89" spans="1:26" s="1266" customFormat="1" ht="14.25">
      <c r="A89" s="3517" t="s">
        <v>421</v>
      </c>
      <c r="B89" s="3518"/>
      <c r="C89" s="980"/>
      <c r="D89" s="980" t="s">
        <v>422</v>
      </c>
      <c r="E89" s="383" t="s">
        <v>431</v>
      </c>
      <c r="F89" s="384"/>
      <c r="G89" s="384"/>
      <c r="H89" s="385"/>
      <c r="I89" s="1268"/>
      <c r="J89" s="1919"/>
      <c r="K89" s="3563"/>
      <c r="L89" s="2767" t="s">
        <v>27</v>
      </c>
      <c r="M89" s="2758"/>
      <c r="N89" s="52" t="e">
        <f>ROUND(SUM(N83:N88),0)</f>
        <v>#VALUE!</v>
      </c>
      <c r="O89" s="2768" t="e">
        <f>N89/N69</f>
        <v>#VALUE!</v>
      </c>
      <c r="P89" s="1914"/>
      <c r="Q89" s="1914"/>
      <c r="R89" s="1914"/>
      <c r="S89" s="1914"/>
      <c r="T89" s="1914"/>
      <c r="U89" s="1914"/>
      <c r="V89" s="1914"/>
      <c r="W89" s="1918"/>
      <c r="X89" s="1918"/>
      <c r="Y89" s="1918"/>
      <c r="Z89" s="1918"/>
    </row>
    <row r="90" spans="1:26" s="1266" customFormat="1" ht="14.25">
      <c r="A90" s="373" t="s">
        <v>1811</v>
      </c>
      <c r="B90" s="374" t="s">
        <v>432</v>
      </c>
      <c r="C90" s="377">
        <f ca="1">ROUND(D63/(1+'数据-取费表'!C42),0)</f>
        <v>18982</v>
      </c>
      <c r="D90" s="370" t="s">
        <v>19</v>
      </c>
      <c r="E90" s="977"/>
      <c r="F90" s="976"/>
      <c r="G90" s="976"/>
      <c r="H90" s="386"/>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3" t="s">
        <v>1817</v>
      </c>
      <c r="B91" s="344" t="s">
        <v>433</v>
      </c>
      <c r="C91" s="377">
        <f ca="1">C92+C96</f>
        <v>95</v>
      </c>
      <c r="D91" s="370" t="s">
        <v>19</v>
      </c>
      <c r="E91" s="977"/>
      <c r="F91" s="976"/>
      <c r="G91" s="976"/>
      <c r="H91" s="386"/>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7" t="s">
        <v>1819</v>
      </c>
      <c r="B93" s="368" t="s">
        <v>435</v>
      </c>
      <c r="C93" s="388"/>
      <c r="D93" s="370" t="s">
        <v>19</v>
      </c>
      <c r="E93" s="389" t="s">
        <v>436</v>
      </c>
      <c r="F93" s="390"/>
      <c r="G93" s="389" t="s">
        <v>437</v>
      </c>
      <c r="H93" s="391">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7" t="s">
        <v>1820</v>
      </c>
      <c r="B94" s="392" t="s">
        <v>438</v>
      </c>
      <c r="C94" s="370">
        <f>IF(F93="购房发票",ROUND(C93*H93*5%,0),0)</f>
        <v>0</v>
      </c>
      <c r="D94" s="393">
        <v>0.05</v>
      </c>
      <c r="E94" s="3499" t="s">
        <v>439</v>
      </c>
      <c r="F94" s="3498"/>
      <c r="G94" s="3498"/>
      <c r="H94" s="3541"/>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7" t="s">
        <v>1822</v>
      </c>
      <c r="B96" s="368" t="s">
        <v>442</v>
      </c>
      <c r="C96" s="397">
        <f ca="1">ROUND(D63*D96/(1+'数据-取费表'!C42),0)</f>
        <v>95</v>
      </c>
      <c r="D96" s="398">
        <f>'数据-取费表'!B43</f>
        <v>5.000000000000001E-3</v>
      </c>
      <c r="E96" s="3533" t="s">
        <v>2410</v>
      </c>
      <c r="F96" s="3534"/>
      <c r="G96" s="3534"/>
      <c r="H96" s="3535"/>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1823</v>
      </c>
      <c r="B97" s="374" t="s">
        <v>443</v>
      </c>
      <c r="C97" s="377">
        <f ca="1">C90-C91</f>
        <v>18887</v>
      </c>
      <c r="D97" s="370" t="s">
        <v>19</v>
      </c>
      <c r="E97" s="977"/>
      <c r="F97" s="976"/>
      <c r="G97" s="976"/>
      <c r="H97" s="386"/>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1824</v>
      </c>
      <c r="B98" s="374" t="s">
        <v>444</v>
      </c>
      <c r="C98" s="399">
        <f ca="1">IF(C97&lt;=0,0,C97/C91)</f>
        <v>198.81052631578947</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1825</v>
      </c>
      <c r="B99" s="379" t="s">
        <v>445</v>
      </c>
      <c r="C99" s="400">
        <f ca="1">ROUND(IF(C97&lt;=0,0,IF(C98&gt;=200%,C97*60%-C91*35%,IF(C98&gt;=100%,C97*50%-C91*15%,IF(C98&gt;=50%,C97*40%-C91*5%,IF(C98&lt;50%,C97*30%,0))))),0)</f>
        <v>11299</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542" t="s">
        <v>446</v>
      </c>
      <c r="B101" s="3543"/>
      <c r="C101" s="3543"/>
      <c r="D101" s="3543"/>
      <c r="E101" s="3543"/>
      <c r="F101" s="3543"/>
      <c r="G101" s="3543"/>
      <c r="H101" s="3543"/>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517" t="s">
        <v>421</v>
      </c>
      <c r="B102" s="3518"/>
      <c r="C102" s="980"/>
      <c r="D102" s="980" t="s">
        <v>422</v>
      </c>
      <c r="E102" s="383" t="s">
        <v>431</v>
      </c>
      <c r="F102" s="384"/>
      <c r="G102" s="384"/>
      <c r="H102" s="405"/>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3" t="s">
        <v>1811</v>
      </c>
      <c r="B103" s="374" t="s">
        <v>432</v>
      </c>
      <c r="C103" s="377">
        <f ca="1">ROUND(D63/(1+'数据-取费表'!C42),0)</f>
        <v>18982</v>
      </c>
      <c r="D103" s="370" t="s">
        <v>19</v>
      </c>
      <c r="E103" s="977"/>
      <c r="F103" s="976"/>
      <c r="G103" s="976"/>
      <c r="H103" s="406"/>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3" t="s">
        <v>1817</v>
      </c>
      <c r="B104" s="344" t="s">
        <v>433</v>
      </c>
      <c r="C104" s="377">
        <f ca="1">IF(H106="仅含出让金",C105+C108+C109+C110+C111+C112,C105+C109+C110+C111+C112)</f>
        <v>95</v>
      </c>
      <c r="D104" s="407"/>
      <c r="E104" s="977"/>
      <c r="F104" s="976"/>
      <c r="G104" s="976"/>
      <c r="H104" s="406"/>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7" t="s">
        <v>1818</v>
      </c>
      <c r="B105" s="368" t="s">
        <v>447</v>
      </c>
      <c r="C105" s="397">
        <f>C106+C107</f>
        <v>0</v>
      </c>
      <c r="D105" s="398"/>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7" t="s">
        <v>1819</v>
      </c>
      <c r="B106" s="368" t="s">
        <v>448</v>
      </c>
      <c r="C106" s="408"/>
      <c r="D106" s="398"/>
      <c r="E106" s="409" t="s">
        <v>449</v>
      </c>
      <c r="F106" s="972"/>
      <c r="G106" s="410" t="s">
        <v>450</v>
      </c>
      <c r="H106" s="411"/>
      <c r="I106" s="11"/>
      <c r="J106" s="1914"/>
      <c r="K106" s="3240" t="s">
        <v>2983</v>
      </c>
      <c r="L106" s="1914"/>
      <c r="M106" s="1914"/>
      <c r="N106" s="1914"/>
      <c r="O106" s="1914"/>
      <c r="P106" s="1914"/>
      <c r="Q106" s="1914"/>
      <c r="R106" s="1914"/>
      <c r="S106" s="1914"/>
      <c r="T106" s="1914"/>
      <c r="U106" s="1914"/>
      <c r="V106" s="1914"/>
      <c r="W106" s="1918"/>
      <c r="X106" s="1918"/>
      <c r="Y106" s="1918"/>
      <c r="Z106" s="1918"/>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7" t="s">
        <v>1822</v>
      </c>
      <c r="B108" s="368" t="s">
        <v>452</v>
      </c>
      <c r="C108" s="408"/>
      <c r="D108" s="398"/>
      <c r="E108" s="409" t="str">
        <f>IF(H106="-","土地取得成本中已包含该笔费用"," ")</f>
        <v xml:space="preserve"> </v>
      </c>
      <c r="F108" s="972"/>
      <c r="G108" s="3493" t="s">
        <v>2954</v>
      </c>
      <c r="H108" s="3494"/>
      <c r="I108" s="2857"/>
      <c r="J108" s="1914"/>
      <c r="K108" s="3240" t="s">
        <v>2984</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1826</v>
      </c>
      <c r="B109" s="368" t="s">
        <v>453</v>
      </c>
      <c r="C109" s="397">
        <f>IF(H109="——",IF(F1="现房",'剩余法-现房'!C18,0),I109)</f>
        <v>0</v>
      </c>
      <c r="D109" s="398"/>
      <c r="E109" s="3536" t="s">
        <v>454</v>
      </c>
      <c r="F109" s="3534"/>
      <c r="G109" s="3534"/>
      <c r="H109" s="1853" t="s">
        <v>941</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1827</v>
      </c>
      <c r="B110" s="368" t="s">
        <v>455</v>
      </c>
      <c r="C110" s="397">
        <f>ROUND((C105+C108+C109)*D110,0)</f>
        <v>0</v>
      </c>
      <c r="D110" s="3271">
        <v>0</v>
      </c>
      <c r="E110" s="3536" t="s">
        <v>456</v>
      </c>
      <c r="F110" s="3534"/>
      <c r="G110" s="3534"/>
      <c r="H110" s="3535"/>
      <c r="I110" s="11"/>
      <c r="J110" s="1914"/>
      <c r="K110" s="3241" t="s">
        <v>2985</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1828</v>
      </c>
      <c r="B111" s="368" t="s">
        <v>442</v>
      </c>
      <c r="C111" s="397">
        <f ca="1">ROUND(D63*D111/(1+'数据-取费表'!C42),0)</f>
        <v>95</v>
      </c>
      <c r="D111" s="398">
        <f>'数据-取费表'!B43</f>
        <v>5.000000000000001E-3</v>
      </c>
      <c r="E111" s="3533" t="s">
        <v>2410</v>
      </c>
      <c r="F111" s="3534"/>
      <c r="G111" s="3534"/>
      <c r="H111" s="3535"/>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1829</v>
      </c>
      <c r="B112" s="368" t="s">
        <v>457</v>
      </c>
      <c r="C112" s="397">
        <f>ROUND(C108*D112,0)</f>
        <v>0</v>
      </c>
      <c r="D112" s="398">
        <v>0.2</v>
      </c>
      <c r="E112" s="3536" t="s">
        <v>2433</v>
      </c>
      <c r="F112" s="3534"/>
      <c r="G112" s="3534"/>
      <c r="H112" s="3535"/>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1823</v>
      </c>
      <c r="B113" s="374" t="s">
        <v>443</v>
      </c>
      <c r="C113" s="377">
        <f ca="1">ROUND(C103-C104,0)</f>
        <v>18887</v>
      </c>
      <c r="D113" s="370" t="s">
        <v>19</v>
      </c>
      <c r="E113" s="977"/>
      <c r="F113" s="976"/>
      <c r="G113" s="976"/>
      <c r="H113" s="406"/>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1824</v>
      </c>
      <c r="B114" s="374" t="s">
        <v>444</v>
      </c>
      <c r="C114" s="399">
        <f ca="1">IF(C113&lt;=0,0,C113/C104)</f>
        <v>198.81052631578947</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6"/>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1825</v>
      </c>
      <c r="B115" s="379" t="s">
        <v>445</v>
      </c>
      <c r="C115" s="400">
        <f ca="1">ROUND(IF(C113&lt;=0,0,IF(C114&gt;=200%,C113*60%-C104*35%,IF(C114&gt;=100%,C113*50%-C104*15%,IF(C114&gt;=50%,C113*40%-C104*5%,IF(C114&lt;50%,C113*30%,0))))),0)</f>
        <v>11299</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3" customFormat="1" ht="21.75" customHeight="1">
      <c r="K185" s="1922"/>
      <c r="L185" s="1922"/>
      <c r="M185" s="1922"/>
      <c r="N185" s="1922"/>
      <c r="O185" s="1922"/>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1889</v>
      </c>
      <c r="B36" s="1581" t="s">
        <v>1890</v>
      </c>
    </row>
    <row r="37" spans="1:9" ht="28.5" customHeight="1">
      <c r="A37" s="1581"/>
      <c r="B37" s="3398" t="str">
        <f>项目基本情况!B1</f>
        <v>北京市国有建设用地使用权预评估</v>
      </c>
      <c r="C37" s="3398"/>
      <c r="D37" s="3398"/>
      <c r="E37" s="3398"/>
      <c r="F37" s="3398"/>
      <c r="G37" s="3398"/>
      <c r="H37" s="3398"/>
      <c r="I37" s="3398"/>
    </row>
    <row r="38" spans="1:9">
      <c r="A38" s="1583"/>
      <c r="B38" s="1583"/>
    </row>
    <row r="39" spans="1:9">
      <c r="A39" s="1581" t="s">
        <v>1889</v>
      </c>
      <c r="B39" s="1581" t="s">
        <v>2032</v>
      </c>
    </row>
    <row r="40" spans="1:9">
      <c r="A40" s="1581"/>
      <c r="B40" s="1581">
        <f>项目基本情况!B5</f>
        <v>0</v>
      </c>
    </row>
    <row r="41" spans="1:9">
      <c r="A41" s="1581"/>
      <c r="B41" s="1581"/>
    </row>
    <row r="42" spans="1:9">
      <c r="A42" s="1581" t="s">
        <v>1889</v>
      </c>
      <c r="B42" s="1581" t="s">
        <v>2033</v>
      </c>
    </row>
    <row r="43" spans="1:9">
      <c r="A43" s="1581"/>
      <c r="B43" s="1581" t="s">
        <v>1891</v>
      </c>
    </row>
    <row r="44" spans="1:9">
      <c r="A44" s="1581"/>
      <c r="B44" s="1581"/>
    </row>
    <row r="45" spans="1:9">
      <c r="A45" s="1581" t="s">
        <v>1889</v>
      </c>
      <c r="B45" s="1581" t="s">
        <v>2031</v>
      </c>
    </row>
    <row r="46" spans="1:9" s="1581" customFormat="1" ht="12.75">
      <c r="B46" s="1581" t="str">
        <f>项目基本情况!K4</f>
        <v>土地估价师、土地估价师</v>
      </c>
    </row>
    <row r="47" spans="1:9">
      <c r="A47" s="1581"/>
      <c r="B47" s="1581"/>
    </row>
    <row r="48" spans="1:9">
      <c r="A48" s="1581" t="s">
        <v>1889</v>
      </c>
      <c r="B48" s="1581" t="s">
        <v>2034</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912</v>
      </c>
      <c r="C1" s="1984"/>
      <c r="D1" s="1984"/>
      <c r="E1" s="1984"/>
      <c r="F1" s="1984"/>
      <c r="G1" s="1984"/>
      <c r="H1" s="1984"/>
      <c r="I1" s="1984"/>
      <c r="J1" s="1984"/>
      <c r="K1" s="414">
        <f>MATCH(B1,'数据-取费表'!A6:A16,0)+5</f>
        <v>6</v>
      </c>
      <c r="L1" s="288"/>
      <c r="M1" s="288"/>
      <c r="N1" s="288"/>
      <c r="O1" s="288"/>
      <c r="P1" s="288"/>
      <c r="Q1" s="288"/>
      <c r="R1" s="288"/>
      <c r="S1" s="288"/>
      <c r="T1" s="288"/>
      <c r="U1" s="288"/>
      <c r="V1" s="288"/>
      <c r="W1" s="288"/>
      <c r="X1" s="288"/>
      <c r="Y1" s="288"/>
      <c r="Z1" s="288"/>
    </row>
    <row r="2" spans="1:31" s="1922" customFormat="1" ht="18" customHeight="1">
      <c r="A2" s="1981" t="s">
        <v>459</v>
      </c>
      <c r="B2" s="1985">
        <f ca="1">C36</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t="e">
        <f ca="1">ROUND(B2*10000/IF(B1="",'数据-汇总表'!E3,INDIRECT("'数据-取费表'!K"&amp;$K$1)),0)</f>
        <v>#DIV/0!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t="e">
        <f ca="1">ROUND(B2*10000/IF(B1="",'数据-汇总表'!D3,INDIRECT("'数据-取费表'!R"&amp;$K$1)),0)</f>
        <v>#DIV/0!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t="e">
        <f ca="1">ROUND(B2/(IF(B1="",'数据-汇总表'!D3,INDIRECT("'数据-取费表'!R"&amp;$K$1))/666.67),0)</f>
        <v>#DIV/0!</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0</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912</v>
      </c>
      <c r="D7" s="428"/>
      <c r="E7" s="428"/>
      <c r="F7" s="428"/>
      <c r="G7" s="428"/>
      <c r="H7" s="428"/>
      <c r="I7" s="428"/>
      <c r="J7" s="428"/>
      <c r="K7" s="429"/>
      <c r="AA7" s="1992"/>
      <c r="AB7" s="1992"/>
      <c r="AC7" s="1992"/>
      <c r="AD7" s="1992"/>
      <c r="AE7" s="1992"/>
    </row>
    <row r="8" spans="1:31" s="1995" customFormat="1" ht="13.5" customHeight="1">
      <c r="A8" s="791" t="s">
        <v>1833</v>
      </c>
      <c r="B8" s="257" t="s">
        <v>464</v>
      </c>
      <c r="C8" s="2549"/>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4"/>
      <c r="AB9" s="1994"/>
      <c r="AC9" s="1994"/>
      <c r="AD9" s="1994"/>
      <c r="AE9" s="1994"/>
    </row>
    <row r="10" spans="1:31" s="1995" customFormat="1" ht="13.5" customHeight="1" thickBot="1">
      <c r="A10" s="2551" t="s">
        <v>1835</v>
      </c>
      <c r="B10" s="2537" t="s">
        <v>466</v>
      </c>
      <c r="C10" s="2740">
        <f>ROUND(C8*C9/10000,0)</f>
        <v>0</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2523" t="s">
        <v>468</v>
      </c>
      <c r="E12" s="2523" t="s">
        <v>469</v>
      </c>
      <c r="F12" s="2523"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0</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0</v>
      </c>
      <c r="D16" s="2559">
        <f ca="1">IF(B1="",'数据-汇总表'!E3,INDIRECT("'数据-取费表'!K"&amp;$K$1)+INDIRECT("'数据-取费表'!S"&amp;$K$1))</f>
        <v>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0</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0</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2523">
        <f ca="1">ROUND(D19*E19/10000,0)</f>
        <v>0</v>
      </c>
      <c r="D19" s="2569">
        <f ca="1">D16</f>
        <v>0</v>
      </c>
      <c r="E19" s="2523">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2523">
        <f ca="1">C21+C22-IF(B1="",'数据-取费表'!B29,IF(G20="已全部缴纳",C21+C22,H20))</f>
        <v>0</v>
      </c>
      <c r="D20" s="2569"/>
      <c r="E20" s="2523"/>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0</v>
      </c>
      <c r="D22" s="2559">
        <f ca="1">IF(B1="",'数据-汇总表'!E6,IF(INDIRECT("'数据-取费表'!c"&amp;$K$1)="住宅",INDIRECT("'数据-取费表'!s"&amp;$K$1),INDIRECT("'数据-取费表'!k"&amp;$K$1)+INDIRECT("'数据-取费表'!s"&amp;$K$1)))</f>
        <v>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0</v>
      </c>
      <c r="D23" s="460"/>
      <c r="E23" s="460"/>
      <c r="F23" s="2571">
        <f>'数据-取费表'!B37</f>
        <v>0.01</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0</v>
      </c>
      <c r="D24" s="467"/>
      <c r="E24" s="465"/>
      <c r="F24" s="2571">
        <f>'数据-取费表'!B38</f>
        <v>0.01</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2806</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0</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0</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ROUND(C6*F29/(1+'数据-取费表'!C42),0)</f>
        <v>0</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0</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0</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0</v>
      </c>
      <c r="D33" s="459">
        <f ca="1">C34</f>
        <v>0.2576</v>
      </c>
      <c r="E33" s="461" t="s">
        <v>487</v>
      </c>
      <c r="F33" s="471">
        <f ca="1">IF(B1="",'数据-取费表'!Q16,INDIRECT("'数据-取费表'!q"&amp;$K$1))</f>
        <v>0.25</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0.2576</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0</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0</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t="e">
        <f ca="1">ROUND(C36*10000/D19,0)</f>
        <v>#DIV/0!</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AE490"/>
  <sheetViews>
    <sheetView view="pageBreakPreview" topLeftCell="A4" zoomScale="80" zoomScaleNormal="80" zoomScaleSheetLayoutView="80" workbookViewId="0">
      <selection activeCell="E19" sqref="E19"/>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3028</v>
      </c>
      <c r="C1" s="1984"/>
      <c r="D1" s="1984"/>
      <c r="E1" s="1984"/>
      <c r="F1" s="1984"/>
      <c r="G1" s="1984"/>
      <c r="H1" s="1984"/>
      <c r="I1" s="1984"/>
      <c r="J1" s="1984"/>
      <c r="K1" s="414">
        <f>MATCH(B1,'数据-取费表'!A6:A16,0)+5</f>
        <v>7</v>
      </c>
      <c r="L1" s="288"/>
      <c r="M1" s="288"/>
      <c r="N1" s="288"/>
      <c r="O1" s="288"/>
      <c r="P1" s="288"/>
      <c r="Q1" s="288"/>
      <c r="R1" s="288"/>
      <c r="S1" s="288"/>
      <c r="T1" s="288"/>
      <c r="U1" s="288"/>
      <c r="V1" s="288"/>
      <c r="W1" s="288"/>
      <c r="X1" s="288"/>
      <c r="Y1" s="288"/>
      <c r="Z1" s="288"/>
    </row>
    <row r="2" spans="1:31" s="1922" customFormat="1" ht="18" customHeight="1">
      <c r="A2" s="1981" t="s">
        <v>459</v>
      </c>
      <c r="B2" s="1985">
        <f ca="1">C36</f>
        <v>22275</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14463</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80990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5399</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45372</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3028</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不动产收益法商业!C43</f>
        <v>29459</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SUMIF('数据-汇总表'!$C19:$C33,剩余法商业!C7,'数据-汇总表'!$E19:$E33)</f>
        <v>15401.814</v>
      </c>
      <c r="D9" s="433">
        <f>SUMIF('数据-汇总表'!$C19:$C33,剩余法商业!D7,'数据-汇总表'!$E19:$E33)</f>
        <v>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4"/>
      <c r="AB9" s="1994"/>
      <c r="AC9" s="1994"/>
      <c r="AD9" s="1994"/>
      <c r="AE9" s="1994"/>
    </row>
    <row r="10" spans="1:31" s="1995" customFormat="1" ht="13.5" customHeight="1" thickBot="1">
      <c r="A10" s="2551" t="s">
        <v>1835</v>
      </c>
      <c r="B10" s="2537" t="s">
        <v>466</v>
      </c>
      <c r="C10" s="2740">
        <f ca="1">不动产收益法商业!C40</f>
        <v>45372</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3276" t="s">
        <v>468</v>
      </c>
      <c r="E12" s="3276" t="s">
        <v>469</v>
      </c>
      <c r="F12" s="3276"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6931</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208</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308</v>
      </c>
      <c r="D16" s="2559">
        <f ca="1">IF(B1="",'数据-汇总表'!E3,INDIRECT("'数据-取费表'!K"&amp;$K$1)+INDIRECT("'数据-取费表'!S"&amp;$K$1))</f>
        <v>15401.814</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104</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7551</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76">
        <f ca="1">ROUND(D19*E19/10000,0)</f>
        <v>216</v>
      </c>
      <c r="D19" s="2569">
        <f ca="1">D16</f>
        <v>15401.814</v>
      </c>
      <c r="E19" s="3276">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76">
        <f ca="1">C21+C22-IF(B1="",'数据-取费表'!B29,IF(G20="已全部缴纳",C21+C22,H20))</f>
        <v>308</v>
      </c>
      <c r="D20" s="2569"/>
      <c r="E20" s="3276"/>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308</v>
      </c>
      <c r="D22" s="2559">
        <f ca="1">IF(B1="",'数据-汇总表'!E6,IF(INDIRECT("'数据-取费表'!c"&amp;$K$1)="住宅",INDIRECT("'数据-取费表'!s"&amp;$K$1),INDIRECT("'数据-取费表'!k"&amp;$K$1)+INDIRECT("'数据-取费表'!s"&amp;$K$1)))</f>
        <v>15401.814</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81</v>
      </c>
      <c r="D23" s="460"/>
      <c r="E23" s="460"/>
      <c r="F23" s="2571">
        <f>'数据-取费表'!B37</f>
        <v>0.01</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454</v>
      </c>
      <c r="D24" s="467"/>
      <c r="E24" s="465"/>
      <c r="F24" s="2571">
        <f>'数据-取费表'!B38</f>
        <v>0.01</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487</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305</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305</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 ca="1">ROUND(C6*F29/(1+'数据-取费表'!C42),0)</f>
        <v>2377</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11292</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11292</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2583</v>
      </c>
      <c r="D33" s="459">
        <f ca="1">C34</f>
        <v>0.30919999999999997</v>
      </c>
      <c r="E33" s="461" t="s">
        <v>487</v>
      </c>
      <c r="F33" s="471">
        <f ca="1">IF(B1="",'数据-取费表'!Q16,INDIRECT("'数据-取费表'!q"&amp;$K$1))</f>
        <v>0.3</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0.30919999999999997</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2583</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22275</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f ca="1">ROUND(C36*10000/D19,0)</f>
        <v>14463</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sheetPr>
    <tabColor rgb="FF92D050"/>
    <pageSetUpPr fitToPage="1"/>
  </sheetPr>
  <dimension ref="A1:AE490"/>
  <sheetViews>
    <sheetView view="pageBreakPreview" topLeftCell="A4" zoomScale="80" zoomScaleNormal="80" zoomScaleSheetLayoutView="80" workbookViewId="0">
      <selection activeCell="G41" sqref="G41"/>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1665</v>
      </c>
      <c r="C1" s="1984"/>
      <c r="D1" s="1984"/>
      <c r="E1" s="1984"/>
      <c r="F1" s="1984"/>
      <c r="G1" s="1984"/>
      <c r="H1" s="1984"/>
      <c r="I1" s="1984"/>
      <c r="J1" s="1984"/>
      <c r="K1" s="414">
        <f>MATCH(B1,'数据-取费表'!A6:A16,0)+5</f>
        <v>8</v>
      </c>
      <c r="L1" s="288"/>
      <c r="M1" s="288"/>
      <c r="N1" s="288"/>
      <c r="O1" s="288"/>
      <c r="P1" s="288"/>
      <c r="Q1" s="288"/>
      <c r="R1" s="288"/>
      <c r="S1" s="288"/>
      <c r="T1" s="288"/>
      <c r="U1" s="288"/>
      <c r="V1" s="288"/>
      <c r="W1" s="288"/>
      <c r="X1" s="288"/>
      <c r="Y1" s="288"/>
      <c r="Z1" s="288"/>
    </row>
    <row r="2" spans="1:31" s="1922" customFormat="1" ht="18" customHeight="1">
      <c r="A2" s="1981" t="s">
        <v>459</v>
      </c>
      <c r="B2" s="1985">
        <f ca="1">C36</f>
        <v>19953</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12955</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72548</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4837</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40297</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1665</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不动产收益法办公!C43</f>
        <v>26164</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SUMIF('数据-汇总表'!$C19:$C33,剩余法办公!C7,'数据-汇总表'!$E19:$E33)</f>
        <v>15401.814</v>
      </c>
      <c r="D9" s="433">
        <f>SUMIF('数据-汇总表'!$C19:$C33,剩余法办公!D7,'数据-汇总表'!$E19:$E33)</f>
        <v>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4"/>
      <c r="AB9" s="1994"/>
      <c r="AC9" s="1994"/>
      <c r="AD9" s="1994"/>
      <c r="AE9" s="1994"/>
    </row>
    <row r="10" spans="1:31" s="1995" customFormat="1" ht="13.5" customHeight="1" thickBot="1">
      <c r="A10" s="2551" t="s">
        <v>1835</v>
      </c>
      <c r="B10" s="2537" t="s">
        <v>466</v>
      </c>
      <c r="C10" s="2740">
        <f ca="1">不动产收益法办公!C40</f>
        <v>40297</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3276" t="s">
        <v>468</v>
      </c>
      <c r="E12" s="3276" t="s">
        <v>469</v>
      </c>
      <c r="F12" s="3276"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6931</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208</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308</v>
      </c>
      <c r="D16" s="2559">
        <f ca="1">IF(B1="",'数据-汇总表'!E3,INDIRECT("'数据-取费表'!K"&amp;$K$1)+INDIRECT("'数据-取费表'!S"&amp;$K$1))</f>
        <v>15401.814</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104</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7551</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76">
        <f ca="1">ROUND(D19*E19/10000,0)</f>
        <v>216</v>
      </c>
      <c r="D19" s="2569">
        <f ca="1">D16</f>
        <v>15401.814</v>
      </c>
      <c r="E19" s="3276">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76">
        <f ca="1">C21+C22-IF(B1="",'数据-取费表'!B29,IF(G20="已全部缴纳",C21+C22,H20))</f>
        <v>308</v>
      </c>
      <c r="D20" s="2569"/>
      <c r="E20" s="3276"/>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308</v>
      </c>
      <c r="D22" s="2559">
        <f ca="1">IF(B1="",'数据-汇总表'!E6,IF(INDIRECT("'数据-取费表'!c"&amp;$K$1)="住宅",INDIRECT("'数据-取费表'!s"&amp;$K$1),INDIRECT("'数据-取费表'!k"&amp;$K$1)+INDIRECT("'数据-取费表'!s"&amp;$K$1)))</f>
        <v>15401.814</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81</v>
      </c>
      <c r="D23" s="460"/>
      <c r="E23" s="460"/>
      <c r="F23" s="2571">
        <f>'数据-取费表'!B37</f>
        <v>0.01</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403</v>
      </c>
      <c r="D24" s="467"/>
      <c r="E24" s="465"/>
      <c r="F24" s="2571">
        <f>'数据-取费表'!B38</f>
        <v>0.01</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487</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303</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303</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 ca="1">ROUND(C6*F29/(1+'数据-取费表'!C42),0)</f>
        <v>2111</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10973</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10973</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2140</v>
      </c>
      <c r="D33" s="459">
        <f ca="1">C34</f>
        <v>0.2576</v>
      </c>
      <c r="E33" s="461" t="s">
        <v>487</v>
      </c>
      <c r="F33" s="471">
        <f ca="1">IF(B1="",'数据-取费表'!Q16,INDIRECT("'数据-取费表'!q"&amp;$K$1))</f>
        <v>0.25</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0.2576</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2140</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19953</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f ca="1">ROUND(C36*10000/D19,0)</f>
        <v>12955</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3" t="s">
        <v>458</v>
      </c>
      <c r="B1" s="2524"/>
      <c r="C1" s="1984"/>
      <c r="D1" s="1984"/>
      <c r="E1" s="1984"/>
      <c r="F1" s="1984"/>
      <c r="G1" s="1984"/>
      <c r="H1" s="1984"/>
      <c r="I1" s="1984"/>
      <c r="J1" s="1984"/>
      <c r="K1" s="414">
        <f>MATCH(B1,'数据-取费表'!A6:A16,0)+5</f>
        <v>9</v>
      </c>
      <c r="L1" s="288"/>
      <c r="M1" s="288"/>
      <c r="N1" s="288"/>
      <c r="O1" s="288"/>
      <c r="P1" s="288"/>
      <c r="Q1" s="288"/>
      <c r="R1" s="288"/>
      <c r="S1" s="288"/>
      <c r="T1" s="288"/>
      <c r="U1" s="288"/>
      <c r="V1" s="288"/>
      <c r="W1" s="288"/>
      <c r="X1" s="288"/>
      <c r="Y1" s="288"/>
      <c r="Z1" s="288"/>
    </row>
    <row r="2" spans="1:41" s="1922" customFormat="1" ht="18" customHeight="1">
      <c r="A2" s="415" t="s">
        <v>459</v>
      </c>
      <c r="B2" s="416">
        <f ca="1">C32</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41" s="1922" customFormat="1" ht="18" customHeight="1">
      <c r="A3" s="1329" t="s">
        <v>1672</v>
      </c>
      <c r="B3" s="417">
        <f ca="1">ROUND(B2*10000/IF(B1="",'数据-汇总表'!E3,INDIRECT("'数据-取费表'!K"&amp;$K$1)),0)</f>
        <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41" s="1922" customFormat="1" ht="18" customHeight="1">
      <c r="A4" s="418" t="s">
        <v>460</v>
      </c>
      <c r="B4" s="419">
        <f ca="1">ROUND(B2*10000/IF(B1="",'数据-汇总表'!D3,INDIRECT("'数据-取费表'!R"&amp;$K$1)),0)</f>
        <v>0</v>
      </c>
      <c r="C4" s="1942"/>
      <c r="D4" s="1984"/>
      <c r="E4" s="1984"/>
      <c r="F4" s="1984"/>
      <c r="G4" s="1984"/>
      <c r="H4" s="1984"/>
      <c r="I4" s="1984"/>
      <c r="J4" s="1984"/>
      <c r="K4" s="1984"/>
      <c r="L4" s="288"/>
      <c r="M4" s="288"/>
      <c r="N4" s="288"/>
      <c r="O4" s="288"/>
      <c r="P4" s="288"/>
      <c r="Q4" s="288"/>
      <c r="R4" s="288"/>
      <c r="S4" s="288"/>
      <c r="T4" s="288"/>
      <c r="U4" s="288"/>
      <c r="V4" s="288"/>
      <c r="W4" s="288"/>
      <c r="X4" s="288"/>
      <c r="Y4" s="288"/>
      <c r="Z4" s="288"/>
    </row>
    <row r="5" spans="1:41" s="1922" customFormat="1" ht="18" customHeight="1" thickBot="1">
      <c r="A5" s="421"/>
      <c r="B5" s="422">
        <f ca="1">ROUND(B2/(IF(B1="",'数据-汇总表'!D3,INDIRECT("'数据-取费表'!R"&amp;$K$1))/666.67),0)</f>
        <v>0</v>
      </c>
      <c r="C5" s="423" t="s">
        <v>461</v>
      </c>
      <c r="D5" s="1984"/>
      <c r="E5" s="1984"/>
      <c r="F5" s="1984"/>
      <c r="G5" s="1984"/>
      <c r="H5" s="1984"/>
      <c r="I5" s="1984"/>
      <c r="J5" s="1984"/>
      <c r="K5" s="1984"/>
      <c r="L5" s="288"/>
      <c r="M5" s="288"/>
      <c r="N5" s="288"/>
      <c r="O5" s="288"/>
      <c r="P5" s="288"/>
      <c r="Q5" s="288"/>
      <c r="R5" s="288"/>
      <c r="S5" s="288"/>
      <c r="T5" s="288"/>
      <c r="U5" s="288"/>
      <c r="V5" s="288"/>
      <c r="W5" s="288"/>
      <c r="X5" s="288"/>
      <c r="Y5" s="288"/>
      <c r="Z5" s="288"/>
    </row>
    <row r="6" spans="1:41" s="1991" customFormat="1" ht="16.5" customHeight="1">
      <c r="A6" s="424" t="s">
        <v>2630</v>
      </c>
      <c r="B6" s="425"/>
      <c r="C6" s="1550">
        <f>SUM(C10:K10)</f>
        <v>0</v>
      </c>
      <c r="D6" s="1989"/>
      <c r="E6" s="1989"/>
      <c r="F6" s="1989"/>
      <c r="G6" s="1989"/>
      <c r="H6" s="1989"/>
      <c r="I6" s="1989"/>
      <c r="J6" s="1989"/>
      <c r="K6" s="1990"/>
      <c r="L6" s="3193"/>
      <c r="M6" s="3193"/>
      <c r="N6" s="3193"/>
      <c r="O6" s="3193"/>
      <c r="P6" s="3193"/>
      <c r="Q6" s="3193"/>
      <c r="R6" s="3193"/>
      <c r="S6" s="3193"/>
      <c r="T6" s="3193"/>
      <c r="U6" s="3193"/>
      <c r="V6" s="3193"/>
      <c r="W6" s="3193"/>
      <c r="X6" s="3193"/>
      <c r="Y6" s="3193"/>
      <c r="Z6" s="3193"/>
    </row>
    <row r="7" spans="1:41" s="1993" customFormat="1" ht="15">
      <c r="A7" s="426" t="s">
        <v>462</v>
      </c>
      <c r="B7" s="427" t="s">
        <v>463</v>
      </c>
      <c r="C7" s="428"/>
      <c r="D7" s="428"/>
      <c r="E7" s="428"/>
      <c r="F7" s="428"/>
      <c r="G7" s="428"/>
      <c r="H7" s="428"/>
      <c r="I7" s="428"/>
      <c r="J7" s="428"/>
      <c r="K7" s="429"/>
      <c r="AA7" s="1992"/>
      <c r="AB7" s="1992"/>
      <c r="AC7" s="1992"/>
      <c r="AD7" s="1992"/>
      <c r="AE7" s="1992"/>
      <c r="AF7" s="1992"/>
      <c r="AG7" s="1992"/>
      <c r="AH7" s="1992"/>
      <c r="AI7" s="1992"/>
      <c r="AJ7" s="1992"/>
      <c r="AK7" s="1992"/>
      <c r="AL7" s="1992"/>
      <c r="AM7" s="1992"/>
      <c r="AN7" s="1992"/>
      <c r="AO7" s="1992"/>
    </row>
    <row r="8" spans="1:41" s="1995" customFormat="1" ht="13.5" customHeight="1">
      <c r="A8" s="1558" t="s">
        <v>1833</v>
      </c>
      <c r="B8" s="430" t="s">
        <v>464</v>
      </c>
      <c r="C8" s="431"/>
      <c r="D8" s="431"/>
      <c r="E8" s="431"/>
      <c r="F8" s="431"/>
      <c r="G8" s="431"/>
      <c r="H8" s="431"/>
      <c r="I8" s="431"/>
      <c r="J8" s="431"/>
      <c r="K8" s="432"/>
      <c r="AA8" s="1994"/>
      <c r="AB8" s="1994"/>
      <c r="AC8" s="1994"/>
      <c r="AD8" s="1994"/>
      <c r="AE8" s="1994"/>
      <c r="AF8" s="1994"/>
      <c r="AG8" s="1994"/>
      <c r="AH8" s="1994"/>
      <c r="AI8" s="1994"/>
      <c r="AJ8" s="1994"/>
      <c r="AK8" s="1994"/>
      <c r="AL8" s="1994"/>
      <c r="AM8" s="1994"/>
      <c r="AN8" s="1994"/>
      <c r="AO8" s="1994"/>
    </row>
    <row r="9" spans="1:41" s="1995" customFormat="1" ht="13.5" customHeight="1">
      <c r="A9" s="1558"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1835</v>
      </c>
      <c r="B10" s="1551" t="s">
        <v>466</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1852</v>
      </c>
      <c r="B11" s="1548"/>
      <c r="C11" s="1548"/>
      <c r="D11" s="1548"/>
      <c r="E11" s="1548"/>
      <c r="F11" s="1548"/>
      <c r="G11" s="1548"/>
      <c r="H11" s="1548"/>
      <c r="I11" s="1548"/>
      <c r="J11" s="1548"/>
      <c r="K11" s="1549"/>
      <c r="L11" s="3193"/>
      <c r="M11" s="3193"/>
      <c r="N11" s="3193"/>
      <c r="O11" s="3193"/>
      <c r="P11" s="3193"/>
      <c r="Q11" s="3193"/>
      <c r="R11" s="3193"/>
      <c r="S11" s="3193"/>
      <c r="T11" s="3193"/>
      <c r="U11" s="3193"/>
      <c r="V11" s="3193"/>
      <c r="W11" s="3193"/>
      <c r="X11" s="3193"/>
      <c r="Y11" s="3193"/>
      <c r="Z11" s="3193"/>
    </row>
    <row r="12" spans="1:41" s="1965" customFormat="1" ht="13.5" customHeight="1">
      <c r="A12" s="426" t="s">
        <v>462</v>
      </c>
      <c r="B12" s="436" t="s">
        <v>463</v>
      </c>
      <c r="C12" s="437" t="s">
        <v>467</v>
      </c>
      <c r="D12" s="438" t="s">
        <v>468</v>
      </c>
      <c r="E12" s="438" t="s">
        <v>469</v>
      </c>
      <c r="F12" s="438" t="s">
        <v>470</v>
      </c>
      <c r="G12" s="436"/>
      <c r="H12" s="439"/>
      <c r="I12" s="439"/>
      <c r="J12" s="439"/>
      <c r="K12" s="440"/>
      <c r="L12" s="3194"/>
      <c r="M12" s="3194"/>
      <c r="N12" s="3194"/>
      <c r="O12" s="3194"/>
      <c r="P12" s="3194"/>
      <c r="Q12" s="3194"/>
      <c r="R12" s="3194"/>
      <c r="S12" s="3194"/>
      <c r="T12" s="3194"/>
      <c r="U12" s="3194"/>
      <c r="V12" s="3194"/>
      <c r="W12" s="3194"/>
      <c r="X12" s="3194"/>
      <c r="Y12" s="3194"/>
      <c r="Z12" s="3194"/>
    </row>
    <row r="13" spans="1:41" s="1996" customFormat="1" ht="13.5" customHeight="1">
      <c r="A13" s="1560" t="s">
        <v>1836</v>
      </c>
      <c r="B13" s="441" t="s">
        <v>471</v>
      </c>
      <c r="C13" s="442">
        <f ca="1">IF(B1="",'数据-取费表'!M16,INDIRECT("'数据-取费表'!M"&amp;$K$1)+INDIRECT("'数据-取费表'!t"&amp;$K$1))</f>
        <v>13862</v>
      </c>
      <c r="D13" s="443"/>
      <c r="E13" s="361"/>
      <c r="F13" s="444"/>
      <c r="G13" s="436"/>
      <c r="H13" s="439"/>
      <c r="I13" s="439"/>
      <c r="J13" s="439"/>
      <c r="K13" s="440"/>
      <c r="L13" s="1997"/>
      <c r="M13" s="1997"/>
      <c r="N13" s="1997"/>
      <c r="O13" s="1997"/>
      <c r="P13" s="1997"/>
      <c r="Q13" s="1997"/>
      <c r="R13" s="1997"/>
      <c r="S13" s="1997"/>
      <c r="T13" s="1997"/>
      <c r="U13" s="1997"/>
      <c r="V13" s="1997"/>
      <c r="W13" s="1997"/>
      <c r="X13" s="1997"/>
      <c r="Y13" s="1997"/>
      <c r="Z13" s="1997"/>
    </row>
    <row r="14" spans="1:41" s="1996" customFormat="1" ht="13.5" customHeight="1">
      <c r="A14" s="1560" t="s">
        <v>1837</v>
      </c>
      <c r="B14" s="441" t="s">
        <v>472</v>
      </c>
      <c r="C14" s="52">
        <f ca="1">ROUND(C13*F14,0)</f>
        <v>416</v>
      </c>
      <c r="D14" s="443"/>
      <c r="E14" s="361"/>
      <c r="F14" s="445">
        <f>'数据-取费表'!B33</f>
        <v>0.03</v>
      </c>
      <c r="G14" s="436" t="s">
        <v>494</v>
      </c>
      <c r="H14" s="439"/>
      <c r="I14" s="439"/>
      <c r="J14" s="439"/>
      <c r="K14" s="440"/>
      <c r="L14" s="1997"/>
      <c r="M14" s="1997"/>
      <c r="N14" s="1997"/>
      <c r="O14" s="1997"/>
      <c r="P14" s="1997"/>
      <c r="Q14" s="1997"/>
      <c r="R14" s="1997"/>
      <c r="S14" s="1997"/>
      <c r="T14" s="1997"/>
      <c r="U14" s="1997"/>
      <c r="V14" s="1997"/>
      <c r="W14" s="1997"/>
      <c r="X14" s="1997"/>
      <c r="Y14" s="1997"/>
      <c r="Z14" s="1997"/>
    </row>
    <row r="15" spans="1:41" s="1996" customFormat="1" ht="13.5" customHeight="1">
      <c r="A15" s="1560" t="s">
        <v>1838</v>
      </c>
      <c r="B15" s="441" t="s">
        <v>474</v>
      </c>
      <c r="C15" s="52">
        <f ca="1">ROUND(IF(B1="",SUMIF('数据-取费表'!C:C,"住宅",'数据-取费表'!M:M)*F15,IF(INDIRECT("'数据-取费表'!c"&amp;$K$1)="住宅",INDIRECT("'数据-取费表'!M"&amp;$K$1)*F15,0)),0)</f>
        <v>0</v>
      </c>
      <c r="D15" s="443"/>
      <c r="E15" s="361"/>
      <c r="F15" s="445">
        <f>'数据-取费表'!B34</f>
        <v>0.1</v>
      </c>
      <c r="G15" s="436" t="s">
        <v>494</v>
      </c>
      <c r="H15" s="439"/>
      <c r="I15" s="439"/>
      <c r="J15" s="439"/>
      <c r="K15" s="440"/>
      <c r="L15" s="1997"/>
      <c r="M15" s="1997"/>
      <c r="N15" s="1997"/>
      <c r="O15" s="1997"/>
      <c r="P15" s="1997"/>
      <c r="Q15" s="1997"/>
      <c r="R15" s="1997"/>
      <c r="S15" s="1997"/>
      <c r="T15" s="1997"/>
      <c r="U15" s="1997"/>
      <c r="V15" s="1997"/>
      <c r="W15" s="1997"/>
      <c r="X15" s="1997"/>
      <c r="Y15" s="1997"/>
      <c r="Z15" s="1997"/>
    </row>
    <row r="16" spans="1:41" s="1997" customFormat="1" ht="13.5" customHeight="1">
      <c r="A16" s="1560" t="s">
        <v>1839</v>
      </c>
      <c r="B16" s="441" t="s">
        <v>476</v>
      </c>
      <c r="C16" s="52">
        <f ca="1">ROUND(D16*E16/10000,0)</f>
        <v>616</v>
      </c>
      <c r="D16" s="443">
        <f ca="1">IF(B1="",'数据-汇总表'!E3,INDIRECT("'数据-取费表'!K"&amp;$K$1)+INDIRECT("'数据-取费表'!S"&amp;$K$1))</f>
        <v>30803.628000000001</v>
      </c>
      <c r="E16" s="52">
        <f>'数据-取费表'!B35</f>
        <v>200</v>
      </c>
      <c r="F16" s="445"/>
      <c r="G16" s="436"/>
      <c r="H16" s="439"/>
      <c r="I16" s="439"/>
      <c r="J16" s="439"/>
      <c r="K16" s="440"/>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1840</v>
      </c>
      <c r="B17" s="441" t="s">
        <v>477</v>
      </c>
      <c r="C17" s="446">
        <f ca="1">ROUND(C13*F17,0)</f>
        <v>208</v>
      </c>
      <c r="D17" s="447"/>
      <c r="E17" s="446"/>
      <c r="F17" s="448">
        <f>'数据-取费表'!B36</f>
        <v>1.4999999999999999E-2</v>
      </c>
      <c r="G17" s="436" t="s">
        <v>494</v>
      </c>
      <c r="H17" s="449"/>
      <c r="I17" s="449"/>
      <c r="J17" s="449"/>
      <c r="K17" s="450"/>
      <c r="L17" s="1997"/>
      <c r="M17" s="1997"/>
      <c r="N17" s="1997"/>
      <c r="O17" s="1997"/>
      <c r="P17" s="1997"/>
      <c r="Q17" s="1997"/>
      <c r="R17" s="1997"/>
      <c r="S17" s="1997"/>
      <c r="T17" s="1997"/>
      <c r="U17" s="1997"/>
      <c r="V17" s="1997"/>
      <c r="W17" s="1997"/>
      <c r="X17" s="1997"/>
      <c r="Y17" s="1997"/>
      <c r="Z17" s="1997"/>
    </row>
    <row r="18" spans="1:26" s="1999" customFormat="1" ht="13.5" customHeight="1">
      <c r="A18" s="1561" t="s">
        <v>1841</v>
      </c>
      <c r="B18" s="451" t="s">
        <v>479</v>
      </c>
      <c r="C18" s="452">
        <f ca="1">SUM(C13:C17)</f>
        <v>15102</v>
      </c>
      <c r="D18" s="453"/>
      <c r="E18" s="454"/>
      <c r="F18" s="454"/>
      <c r="G18" s="1279" t="s">
        <v>2413</v>
      </c>
      <c r="H18" s="439"/>
      <c r="I18" s="439"/>
      <c r="J18" s="439"/>
      <c r="K18" s="440"/>
      <c r="L18" s="3196"/>
      <c r="M18" s="3196"/>
      <c r="N18" s="3196"/>
      <c r="O18" s="3196"/>
      <c r="P18" s="3196"/>
      <c r="Q18" s="3196"/>
      <c r="R18" s="3196"/>
      <c r="S18" s="3196"/>
      <c r="T18" s="3196"/>
      <c r="U18" s="3196"/>
      <c r="V18" s="3196"/>
      <c r="W18" s="3196"/>
      <c r="X18" s="3196"/>
      <c r="Y18" s="3196"/>
      <c r="Z18" s="3196"/>
    </row>
    <row r="19" spans="1:26" s="1999" customFormat="1" ht="13.5" customHeight="1">
      <c r="A19" s="1561" t="s">
        <v>1842</v>
      </c>
      <c r="B19" s="451" t="s">
        <v>485</v>
      </c>
      <c r="C19" s="452">
        <f ca="1">ROUND(C18*F19,0)</f>
        <v>151</v>
      </c>
      <c r="D19" s="454"/>
      <c r="E19" s="454"/>
      <c r="F19" s="458">
        <f>'数据-取费表'!B37</f>
        <v>0.01</v>
      </c>
      <c r="G19" s="436" t="s">
        <v>495</v>
      </c>
      <c r="H19" s="439"/>
      <c r="I19" s="439"/>
      <c r="J19" s="439"/>
      <c r="K19" s="440"/>
      <c r="L19" s="3198"/>
      <c r="M19" s="3198"/>
      <c r="N19" s="3198"/>
      <c r="O19" s="3196"/>
      <c r="P19" s="3196"/>
      <c r="Q19" s="3196"/>
      <c r="R19" s="3196"/>
      <c r="S19" s="3196"/>
      <c r="T19" s="3196"/>
      <c r="U19" s="3196"/>
      <c r="V19" s="3196"/>
      <c r="W19" s="3196"/>
      <c r="X19" s="3196"/>
      <c r="Y19" s="3196"/>
      <c r="Z19" s="3196"/>
    </row>
    <row r="20" spans="1:26" s="1999" customFormat="1" ht="13.5" customHeight="1">
      <c r="A20" s="1561" t="s">
        <v>1843</v>
      </c>
      <c r="B20" s="451" t="s">
        <v>496</v>
      </c>
      <c r="C20" s="2741">
        <f>F20</f>
        <v>0.01</v>
      </c>
      <c r="D20" s="461" t="s">
        <v>497</v>
      </c>
      <c r="E20" s="461"/>
      <c r="F20" s="478">
        <f>'数据-取费表'!B38</f>
        <v>0.01</v>
      </c>
      <c r="G20" s="1279" t="s">
        <v>498</v>
      </c>
      <c r="H20" s="439"/>
      <c r="I20" s="439"/>
      <c r="J20" s="439"/>
      <c r="K20" s="440"/>
      <c r="L20" s="3198"/>
      <c r="M20" s="3198"/>
      <c r="N20" s="3198"/>
      <c r="O20" s="3196"/>
      <c r="P20" s="3196"/>
      <c r="Q20" s="3196"/>
      <c r="R20" s="3196"/>
      <c r="S20" s="3196"/>
      <c r="T20" s="3196"/>
      <c r="U20" s="3196"/>
      <c r="V20" s="3196"/>
      <c r="W20" s="3196"/>
      <c r="X20" s="3196"/>
      <c r="Y20" s="3196"/>
      <c r="Z20" s="3196"/>
    </row>
    <row r="21" spans="1:26" s="2001" customFormat="1" ht="13.5" customHeight="1">
      <c r="A21" s="1561" t="s">
        <v>1846</v>
      </c>
      <c r="B21" s="453" t="s">
        <v>486</v>
      </c>
      <c r="C21" s="462">
        <f ca="1">C22</f>
        <v>540</v>
      </c>
      <c r="D21" s="459">
        <f ca="1">C23</f>
        <v>4.0000000000000002E-4</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204" t="s">
        <v>2434</v>
      </c>
      <c r="M21" s="3205"/>
      <c r="N21" s="3205"/>
      <c r="O21" s="3205"/>
      <c r="P21" s="3205"/>
      <c r="Q21" s="3198"/>
      <c r="R21" s="3198"/>
      <c r="S21" s="3198"/>
      <c r="T21" s="3198"/>
      <c r="U21" s="3198"/>
      <c r="V21" s="3198"/>
      <c r="W21" s="3198"/>
      <c r="X21" s="3198"/>
      <c r="Y21" s="3198"/>
      <c r="Z21" s="3198"/>
    </row>
    <row r="22" spans="1:26" s="2000" customFormat="1" ht="13.5" customHeight="1">
      <c r="A22" s="1560" t="s">
        <v>1836</v>
      </c>
      <c r="B22" s="1280" t="s">
        <v>2416</v>
      </c>
      <c r="C22" s="479">
        <f ca="1">ROUND(IF('数据-取费表'!B22&lt;=1,(C18+C19)*F21*'数据-取费表'!B20/2,(C18+C19)*(POWER((1+F21),'数据-取费表'!B20/2)-1)),0)</f>
        <v>540</v>
      </c>
      <c r="D22" s="464"/>
      <c r="E22" s="465"/>
      <c r="F22" s="466"/>
      <c r="G22" s="2418" t="str">
        <f>IF('数据-取费表'!B22&lt;=1,"((1)+(2))×年利率×建设期÷2","((1)+(2))×((1+年利率)^(建设期÷2)-1)")</f>
        <v>((1)+(2))×((1+年利率)^(建设期÷2)-1)</v>
      </c>
      <c r="H22" s="449"/>
      <c r="I22" s="449"/>
      <c r="J22" s="449"/>
      <c r="K22" s="450"/>
      <c r="L22" s="3197"/>
      <c r="M22" s="3197"/>
      <c r="N22" s="3197"/>
      <c r="O22" s="3197"/>
      <c r="P22" s="3197"/>
      <c r="Q22" s="3197"/>
      <c r="R22" s="3197"/>
      <c r="S22" s="3197"/>
      <c r="T22" s="3197"/>
      <c r="U22" s="3197"/>
      <c r="V22" s="3197"/>
      <c r="W22" s="3197"/>
      <c r="X22" s="3197"/>
      <c r="Y22" s="3197"/>
      <c r="Z22" s="3197"/>
    </row>
    <row r="23" spans="1:26" s="2000" customFormat="1" ht="13.5" customHeight="1">
      <c r="A23" s="1560" t="s">
        <v>1837</v>
      </c>
      <c r="B23" s="1280" t="s">
        <v>500</v>
      </c>
      <c r="C23" s="480">
        <f ca="1">ROUND(IF('数据-取费表'!B22&lt;=1,F20*F21*'数据-取费表'!B20/2,F20*(POWER((1+F21),'数据-取费表'!B20/2)-1)),4)</f>
        <v>4.0000000000000002E-4</v>
      </c>
      <c r="D23" s="464"/>
      <c r="E23" s="465"/>
      <c r="F23" s="466"/>
      <c r="G23" s="2418" t="str">
        <f>IF('数据-取费表'!B22&lt;=1,"销售费用率×年利率×建设期÷2","销售费用率×((1+年利率)^(建设期÷2)-1)")</f>
        <v>销售费用率×((1+年利率)^(建设期÷2)-1)</v>
      </c>
      <c r="H23" s="449"/>
      <c r="I23" s="449"/>
      <c r="J23" s="449"/>
      <c r="K23" s="450"/>
      <c r="L23" s="3197"/>
      <c r="M23" s="3197"/>
      <c r="N23" s="3197"/>
      <c r="O23" s="3197"/>
      <c r="P23" s="3197"/>
      <c r="Q23" s="3197"/>
      <c r="R23" s="3197"/>
      <c r="S23" s="3197"/>
      <c r="T23" s="3197"/>
      <c r="U23" s="3197"/>
      <c r="V23" s="3197"/>
      <c r="W23" s="3197"/>
      <c r="X23" s="3197"/>
      <c r="Y23" s="3197"/>
      <c r="Z23" s="3197"/>
    </row>
    <row r="24" spans="1:26" s="2000" customFormat="1" ht="13.5" customHeight="1">
      <c r="A24" s="1561" t="s">
        <v>1847</v>
      </c>
      <c r="B24" s="2743" t="s">
        <v>2809</v>
      </c>
      <c r="C24" s="470">
        <f ca="1">C25</f>
        <v>4271</v>
      </c>
      <c r="D24" s="481">
        <f ca="1">C26</f>
        <v>2.8E-3</v>
      </c>
      <c r="E24" s="461" t="s">
        <v>499</v>
      </c>
      <c r="F24" s="471">
        <f ca="1">IF(B1="",'数据-取费表'!Q16,INDIRECT("'数据-取费表'!q"&amp;$K$1))</f>
        <v>0.28000000000000003</v>
      </c>
      <c r="G24" s="436"/>
      <c r="H24" s="439"/>
      <c r="I24" s="439"/>
      <c r="J24" s="439"/>
      <c r="K24" s="440"/>
      <c r="L24" s="3197"/>
      <c r="M24" s="3197"/>
      <c r="N24" s="3197"/>
      <c r="O24" s="3197"/>
      <c r="P24" s="3197"/>
      <c r="Q24" s="3197"/>
      <c r="R24" s="3197"/>
      <c r="S24" s="3197"/>
      <c r="T24" s="3197"/>
      <c r="U24" s="3197"/>
      <c r="V24" s="3197"/>
      <c r="W24" s="3197"/>
      <c r="X24" s="3197"/>
      <c r="Y24" s="3197"/>
      <c r="Z24" s="3197"/>
    </row>
    <row r="25" spans="1:26" s="2000" customFormat="1" ht="13.5" customHeight="1">
      <c r="A25" s="1560" t="s">
        <v>1836</v>
      </c>
      <c r="B25" s="1280" t="s">
        <v>2417</v>
      </c>
      <c r="C25" s="482">
        <f ca="1">ROUND((C18+C19)*F24,0)</f>
        <v>4271</v>
      </c>
      <c r="D25" s="464"/>
      <c r="E25" s="465"/>
      <c r="F25" s="472"/>
      <c r="G25" s="1278" t="s">
        <v>2414</v>
      </c>
      <c r="H25" s="449"/>
      <c r="I25" s="449"/>
      <c r="J25" s="449"/>
      <c r="K25" s="450"/>
      <c r="L25" s="3197"/>
      <c r="M25" s="3197"/>
      <c r="N25" s="3197"/>
      <c r="O25" s="3197"/>
      <c r="P25" s="3197"/>
      <c r="Q25" s="3197"/>
      <c r="R25" s="3197"/>
      <c r="S25" s="3197"/>
      <c r="T25" s="3197"/>
      <c r="U25" s="3197"/>
      <c r="V25" s="3197"/>
      <c r="W25" s="3197"/>
      <c r="X25" s="3197"/>
      <c r="Y25" s="3197"/>
      <c r="Z25" s="3197"/>
    </row>
    <row r="26" spans="1:26" s="2000" customFormat="1" ht="13.5" customHeight="1">
      <c r="A26" s="1560" t="s">
        <v>1837</v>
      </c>
      <c r="B26" s="1280" t="s">
        <v>501</v>
      </c>
      <c r="C26" s="483">
        <f ca="1">ROUND(F20*F24,4)</f>
        <v>2.8E-3</v>
      </c>
      <c r="D26" s="464"/>
      <c r="E26" s="473"/>
      <c r="F26" s="472"/>
      <c r="G26" s="1278" t="s">
        <v>502</v>
      </c>
      <c r="H26" s="449"/>
      <c r="I26" s="449"/>
      <c r="J26" s="449"/>
      <c r="K26" s="450"/>
      <c r="L26" s="3197"/>
      <c r="M26" s="3197"/>
      <c r="N26" s="3197"/>
      <c r="O26" s="3197"/>
      <c r="P26" s="3197"/>
      <c r="Q26" s="3197"/>
      <c r="R26" s="3197"/>
      <c r="S26" s="3197"/>
      <c r="T26" s="3197"/>
      <c r="U26" s="3197"/>
      <c r="V26" s="3197"/>
      <c r="W26" s="3197"/>
      <c r="X26" s="3197"/>
      <c r="Y26" s="3197"/>
      <c r="Z26" s="3197"/>
    </row>
    <row r="27" spans="1:26" s="2000" customFormat="1" ht="13.5" customHeight="1">
      <c r="A27" s="1564" t="s">
        <v>1855</v>
      </c>
      <c r="B27" s="451" t="s">
        <v>503</v>
      </c>
      <c r="C27" s="2742">
        <f>ROUND(F27/(1+'数据-取费表'!C42),4)</f>
        <v>5.2400000000000002E-2</v>
      </c>
      <c r="D27" s="454" t="s">
        <v>2807</v>
      </c>
      <c r="E27" s="454"/>
      <c r="F27" s="458">
        <f>'数据-取费表'!B41</f>
        <v>5.5000000000000007E-2</v>
      </c>
      <c r="G27" s="1872" t="s">
        <v>2276</v>
      </c>
      <c r="H27" s="439"/>
      <c r="I27" s="439"/>
      <c r="J27" s="439"/>
      <c r="K27" s="440"/>
      <c r="L27" s="3197"/>
      <c r="M27" s="3197"/>
      <c r="N27" s="3197"/>
      <c r="O27" s="3197"/>
      <c r="P27" s="3197"/>
      <c r="Q27" s="3197"/>
      <c r="R27" s="3197"/>
      <c r="S27" s="3197"/>
      <c r="T27" s="3197"/>
      <c r="U27" s="3197"/>
      <c r="V27" s="3197"/>
      <c r="W27" s="3197"/>
      <c r="X27" s="3197"/>
      <c r="Y27" s="3197"/>
      <c r="Z27" s="3197"/>
    </row>
    <row r="28" spans="1:26" s="2001" customFormat="1" ht="13.5" customHeight="1">
      <c r="A28" s="1564" t="s">
        <v>1856</v>
      </c>
      <c r="B28" s="468" t="s">
        <v>504</v>
      </c>
      <c r="C28" s="462">
        <f ca="1">ROUND((C18+C19+C21+C24)/(1-C20-D21-D24-C27),0)</f>
        <v>21473</v>
      </c>
      <c r="D28" s="469"/>
      <c r="E28" s="461"/>
      <c r="F28" s="463"/>
      <c r="G28" s="1279" t="s">
        <v>2415</v>
      </c>
      <c r="H28" s="439"/>
      <c r="I28" s="439"/>
      <c r="J28" s="439"/>
      <c r="K28" s="440"/>
      <c r="L28" s="3198"/>
      <c r="M28" s="3198"/>
      <c r="N28" s="3198"/>
      <c r="O28" s="3198"/>
      <c r="P28" s="3198"/>
      <c r="Q28" s="3198"/>
      <c r="R28" s="3198"/>
      <c r="S28" s="3198"/>
      <c r="T28" s="3198"/>
      <c r="U28" s="3198"/>
      <c r="V28" s="3198"/>
      <c r="W28" s="3198"/>
      <c r="X28" s="3198"/>
      <c r="Y28" s="3198"/>
      <c r="Z28" s="3198"/>
    </row>
    <row r="29" spans="1:26" s="2001" customFormat="1" ht="13.5" customHeight="1">
      <c r="A29" s="1564" t="s">
        <v>1857</v>
      </c>
      <c r="B29" s="468" t="s">
        <v>505</v>
      </c>
      <c r="C29" s="484">
        <f ca="1">IF(B1="",'数据-取费表'!N16,INDIRECT("'数据-取费表'!N"&amp;$K$1))</f>
        <v>0</v>
      </c>
      <c r="D29" s="485"/>
      <c r="E29" s="486"/>
      <c r="F29" s="487"/>
      <c r="G29" s="436"/>
      <c r="H29" s="439"/>
      <c r="I29" s="439"/>
      <c r="J29" s="439"/>
      <c r="K29" s="440"/>
      <c r="L29" s="3198"/>
      <c r="M29" s="3198"/>
      <c r="N29" s="3198"/>
      <c r="O29" s="3198"/>
      <c r="P29" s="3198"/>
      <c r="Q29" s="3198"/>
      <c r="R29" s="3198"/>
      <c r="S29" s="3198"/>
      <c r="T29" s="3198"/>
      <c r="U29" s="3198"/>
      <c r="V29" s="3198"/>
      <c r="W29" s="3198"/>
      <c r="X29" s="3198"/>
      <c r="Y29" s="3198"/>
      <c r="Z29" s="3198"/>
    </row>
    <row r="30" spans="1:26" s="2001" customFormat="1" ht="13.5" customHeight="1">
      <c r="A30" s="435">
        <v>2</v>
      </c>
      <c r="B30" s="468" t="s">
        <v>506</v>
      </c>
      <c r="C30" s="489">
        <f ca="1">ROUND(C28*C29,0)</f>
        <v>0</v>
      </c>
      <c r="D30" s="485"/>
      <c r="E30" s="490"/>
      <c r="F30" s="491"/>
      <c r="G30" s="1281" t="s">
        <v>507</v>
      </c>
      <c r="H30" s="488"/>
      <c r="I30" s="488"/>
      <c r="J30" s="439"/>
      <c r="K30" s="440"/>
      <c r="L30" s="3198"/>
      <c r="M30" s="3198"/>
      <c r="N30" s="3198"/>
      <c r="O30" s="3198"/>
      <c r="P30" s="3198"/>
      <c r="Q30" s="3198"/>
      <c r="R30" s="3198"/>
      <c r="S30" s="3198"/>
      <c r="T30" s="3198"/>
      <c r="U30" s="3198"/>
      <c r="V30" s="3198"/>
      <c r="W30" s="3198"/>
      <c r="X30" s="3198"/>
      <c r="Y30" s="3198"/>
      <c r="Z30" s="3198"/>
    </row>
    <row r="31" spans="1:26" s="2006" customFormat="1" ht="13.5" customHeight="1">
      <c r="A31" s="2333" t="s">
        <v>1853</v>
      </c>
      <c r="B31" s="1282"/>
      <c r="C31" s="492">
        <f>ROUND(C6*F31/(1+'数据-取费表'!C42),0)</f>
        <v>0</v>
      </c>
      <c r="D31" s="1283"/>
      <c r="E31" s="1283"/>
      <c r="F31" s="493">
        <f>'数据-取费表'!B41</f>
        <v>5.5000000000000007E-2</v>
      </c>
      <c r="G31" s="1284"/>
      <c r="H31" s="1284"/>
      <c r="I31" s="1284"/>
      <c r="J31" s="1285"/>
      <c r="K31" s="1286"/>
      <c r="L31" s="3203"/>
      <c r="M31" s="3203"/>
      <c r="N31" s="3203"/>
      <c r="O31" s="3203"/>
      <c r="P31" s="3203"/>
      <c r="Q31" s="3203"/>
      <c r="R31" s="3203"/>
      <c r="S31" s="3203"/>
      <c r="T31" s="3203"/>
      <c r="U31" s="3203"/>
      <c r="V31" s="3203"/>
      <c r="W31" s="3203"/>
      <c r="X31" s="3203"/>
      <c r="Y31" s="3203"/>
      <c r="Z31" s="3203"/>
    </row>
    <row r="32" spans="1:26" s="1965"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4" t="s">
        <v>2932</v>
      </c>
      <c r="H32" s="475"/>
      <c r="I32" s="475"/>
      <c r="J32" s="475"/>
      <c r="K32" s="477"/>
      <c r="L32" s="3194"/>
      <c r="M32" s="3194"/>
      <c r="N32" s="3194"/>
      <c r="O32" s="3194"/>
      <c r="P32" s="3194"/>
      <c r="Q32" s="3194"/>
      <c r="R32" s="3194"/>
      <c r="S32" s="3194"/>
      <c r="T32" s="3194"/>
      <c r="U32" s="3194"/>
      <c r="V32" s="3194"/>
      <c r="W32" s="3194"/>
      <c r="X32" s="3194"/>
      <c r="Y32" s="3194"/>
      <c r="Z32" s="3194"/>
    </row>
    <row r="33" spans="1:5" s="1995" customFormat="1">
      <c r="A33" s="3201"/>
      <c r="C33" s="3202"/>
      <c r="E33" s="3201"/>
    </row>
    <row r="34" spans="1:5" s="1995" customFormat="1" ht="12.75" customHeight="1">
      <c r="A34" s="3201"/>
      <c r="C34" s="3202"/>
      <c r="E34" s="3201"/>
    </row>
    <row r="35" spans="1:5" s="1995" customFormat="1">
      <c r="A35" s="3201"/>
      <c r="C35" s="3202"/>
      <c r="E35" s="3201"/>
    </row>
    <row r="36" spans="1:5" s="1995" customFormat="1">
      <c r="A36" s="3201"/>
      <c r="C36" s="3202"/>
      <c r="E36" s="3201"/>
    </row>
    <row r="37" spans="1:5" s="1995" customFormat="1">
      <c r="A37" s="3201"/>
      <c r="C37" s="3202"/>
      <c r="E37" s="3201"/>
    </row>
    <row r="38" spans="1:5" s="1995" customFormat="1">
      <c r="A38" s="3201"/>
      <c r="C38" s="3202"/>
      <c r="E38" s="3201"/>
    </row>
    <row r="39" spans="1:5" s="1995" customFormat="1">
      <c r="A39" s="3201"/>
      <c r="C39" s="3202"/>
      <c r="E39" s="3201"/>
    </row>
    <row r="40" spans="1:5" s="1995" customFormat="1">
      <c r="A40" s="3201"/>
      <c r="C40" s="3202"/>
      <c r="E40" s="3201"/>
    </row>
    <row r="41" spans="1:5" s="1995" customFormat="1">
      <c r="A41" s="3201"/>
      <c r="C41" s="3202"/>
      <c r="E41" s="3201"/>
    </row>
    <row r="42" spans="1:5" s="1995" customFormat="1">
      <c r="A42" s="3201"/>
      <c r="C42" s="3202"/>
      <c r="E42" s="3201"/>
    </row>
    <row r="43" spans="1:5" s="1995" customFormat="1">
      <c r="A43" s="3201"/>
      <c r="C43" s="3202"/>
      <c r="E43" s="3201"/>
    </row>
    <row r="44" spans="1:5" s="1995" customFormat="1">
      <c r="A44" s="3201"/>
      <c r="C44" s="3202"/>
      <c r="E44" s="3201"/>
    </row>
    <row r="45" spans="1:5" s="1995" customFormat="1">
      <c r="A45" s="3201"/>
      <c r="C45" s="3202"/>
      <c r="E45" s="3201"/>
    </row>
    <row r="46" spans="1:5" s="1995" customFormat="1">
      <c r="A46" s="3201"/>
      <c r="C46" s="3202"/>
      <c r="E46" s="3201"/>
    </row>
    <row r="47" spans="1:5" s="1995" customFormat="1">
      <c r="A47" s="3201"/>
      <c r="C47" s="3202"/>
      <c r="E47" s="3201"/>
    </row>
    <row r="48" spans="1:5"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206"/>
      <c r="M1" s="3207"/>
      <c r="N1" s="3207"/>
      <c r="O1" s="3207"/>
      <c r="P1" s="2012"/>
      <c r="Q1" s="2012"/>
      <c r="R1" s="2012"/>
      <c r="S1" s="2012"/>
      <c r="T1" s="2012"/>
      <c r="U1" s="2012"/>
      <c r="V1" s="2012"/>
      <c r="W1" s="2012"/>
      <c r="X1" s="2012"/>
      <c r="Y1" s="2012"/>
      <c r="Z1" s="2012"/>
      <c r="AA1" s="2012"/>
      <c r="AB1" s="2012"/>
      <c r="AC1" s="3208"/>
      <c r="AD1" s="1287"/>
    </row>
    <row r="2" spans="1:30" s="1288" customFormat="1" ht="28.5" customHeight="1">
      <c r="A2" s="415" t="s">
        <v>459</v>
      </c>
      <c r="B2" s="500" t="e">
        <f>F68</f>
        <v>#DIV/0!</v>
      </c>
      <c r="C2" s="3216"/>
      <c r="D2" s="3216"/>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c r="AD2" s="1287"/>
    </row>
    <row r="3" spans="1:30" s="1288" customFormat="1" ht="28.5" customHeight="1">
      <c r="A3" s="1329" t="s">
        <v>1672</v>
      </c>
      <c r="B3" s="502" t="e">
        <f>ROUND(B2*10000/'数据-汇总表'!E3,0)</f>
        <v>#DIV/0!</v>
      </c>
      <c r="C3" s="3217"/>
      <c r="D3" s="3221"/>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3209"/>
      <c r="AC3" s="1942"/>
    </row>
    <row r="4" spans="1:30" s="1288" customFormat="1" ht="28.5" customHeight="1">
      <c r="A4" s="503" t="s">
        <v>512</v>
      </c>
      <c r="B4" s="419" t="e">
        <f>IF(B48="单位面积地价",C50,ROUND(B2*10000/'数据-汇总表'!D3,0))</f>
        <v>#DIV/0!</v>
      </c>
      <c r="C4" s="3217"/>
      <c r="D4" s="3221"/>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1"/>
      <c r="B5" s="422" t="e">
        <f>ROUND(B2/('数据-汇总表'!D3/666.67),0)</f>
        <v>#DIV/0!</v>
      </c>
      <c r="C5" s="423" t="s">
        <v>461</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2012"/>
      <c r="AC5" s="1942"/>
    </row>
    <row r="6" spans="1:30" ht="20.25">
      <c r="A6" s="504" t="s">
        <v>513</v>
      </c>
      <c r="B6" s="505"/>
      <c r="C6" s="3584" t="s">
        <v>514</v>
      </c>
      <c r="D6" s="3585"/>
      <c r="E6" s="3584" t="s">
        <v>515</v>
      </c>
      <c r="F6" s="3585"/>
      <c r="G6" s="3584" t="s">
        <v>516</v>
      </c>
      <c r="H6" s="3585"/>
      <c r="I6" s="3584" t="s">
        <v>517</v>
      </c>
      <c r="J6" s="3585"/>
      <c r="K6" s="506" t="s">
        <v>518</v>
      </c>
      <c r="L6" s="2013"/>
      <c r="M6" s="2012"/>
      <c r="N6" s="2012"/>
      <c r="O6" s="2014"/>
      <c r="P6" s="3586" t="s">
        <v>519</v>
      </c>
      <c r="Q6" s="3587"/>
      <c r="R6" s="3592" t="s">
        <v>515</v>
      </c>
      <c r="S6" s="3593"/>
      <c r="T6" s="3592" t="s">
        <v>516</v>
      </c>
      <c r="U6" s="3593"/>
      <c r="V6" s="3579" t="s">
        <v>517</v>
      </c>
      <c r="W6" s="3579"/>
      <c r="X6" s="1500"/>
      <c r="Y6" s="3592" t="s">
        <v>519</v>
      </c>
      <c r="Z6" s="3593"/>
      <c r="AA6" s="3581" t="s">
        <v>515</v>
      </c>
      <c r="AB6" s="3582" t="s">
        <v>516</v>
      </c>
      <c r="AC6" s="3581" t="s">
        <v>517</v>
      </c>
    </row>
    <row r="7" spans="1:30" ht="20.25">
      <c r="A7" s="507"/>
      <c r="B7" s="508"/>
      <c r="C7" s="3600" t="s">
        <v>2892</v>
      </c>
      <c r="D7" s="3601"/>
      <c r="E7" s="3600" t="s">
        <v>2893</v>
      </c>
      <c r="F7" s="3601"/>
      <c r="G7" s="3600" t="s">
        <v>2894</v>
      </c>
      <c r="H7" s="3601"/>
      <c r="I7" s="3600" t="s">
        <v>2895</v>
      </c>
      <c r="J7" s="3601"/>
      <c r="K7" s="506"/>
      <c r="L7" s="2013"/>
      <c r="M7" s="2012"/>
      <c r="N7" s="2012"/>
      <c r="O7" s="2014"/>
      <c r="P7" s="3588"/>
      <c r="Q7" s="3589"/>
      <c r="R7" s="3594"/>
      <c r="S7" s="3595"/>
      <c r="T7" s="3594"/>
      <c r="U7" s="3595"/>
      <c r="V7" s="3579"/>
      <c r="W7" s="3579"/>
      <c r="X7" s="1500"/>
      <c r="Y7" s="3594"/>
      <c r="Z7" s="3595"/>
      <c r="AA7" s="3582"/>
      <c r="AB7" s="3582"/>
      <c r="AC7" s="3582"/>
    </row>
    <row r="8" spans="1:30" ht="21" thickBot="1">
      <c r="A8" s="507"/>
      <c r="B8" s="508"/>
      <c r="C8" s="3602" t="s">
        <v>2896</v>
      </c>
      <c r="D8" s="3603"/>
      <c r="E8" s="3602" t="s">
        <v>2896</v>
      </c>
      <c r="F8" s="3603"/>
      <c r="G8" s="3598" t="s">
        <v>2896</v>
      </c>
      <c r="H8" s="3599"/>
      <c r="I8" s="3598" t="s">
        <v>2896</v>
      </c>
      <c r="J8" s="3599"/>
      <c r="K8" s="506" t="s">
        <v>520</v>
      </c>
      <c r="L8" s="2013"/>
      <c r="M8" s="2012"/>
      <c r="N8" s="2012"/>
      <c r="O8" s="2014"/>
      <c r="P8" s="3590"/>
      <c r="Q8" s="3591"/>
      <c r="R8" s="3594"/>
      <c r="S8" s="3595"/>
      <c r="T8" s="3596"/>
      <c r="U8" s="3597"/>
      <c r="V8" s="3579"/>
      <c r="W8" s="3579"/>
      <c r="X8" s="1500"/>
      <c r="Y8" s="3596"/>
      <c r="Z8" s="3597"/>
      <c r="AA8" s="3583"/>
      <c r="AB8" s="3583"/>
      <c r="AC8" s="3583"/>
    </row>
    <row r="9" spans="1:30" s="1201" customFormat="1" ht="21" thickBot="1">
      <c r="A9" s="2627"/>
      <c r="B9" s="2634" t="s">
        <v>521</v>
      </c>
      <c r="C9" s="2626">
        <f>'数据-取费表'!B2</f>
        <v>44424</v>
      </c>
      <c r="D9" s="512">
        <v>100</v>
      </c>
      <c r="E9" s="513"/>
      <c r="F9" s="514">
        <f>SUMIF(72:72,YEAR(E9)&amp;"-"&amp;INT((MONTH(E9)+2)/3),73:73)</f>
        <v>0</v>
      </c>
      <c r="G9" s="515"/>
      <c r="H9" s="512">
        <f>SUMIF(72:72,YEAR(G9)&amp;"-"&amp;INT((MONTH(G9)+2)/3),73:73)</f>
        <v>0</v>
      </c>
      <c r="I9" s="515"/>
      <c r="J9" s="512">
        <f>SUMIF(72:72,YEAR(I9)&amp;"-"&amp;INT((MONTH(I9)+2)/3),73:73)</f>
        <v>0</v>
      </c>
      <c r="K9" s="516"/>
      <c r="L9" s="2015"/>
      <c r="M9" s="2012"/>
      <c r="N9" s="2012"/>
      <c r="O9" s="2016"/>
      <c r="P9" s="3609" t="s">
        <v>522</v>
      </c>
      <c r="Q9" s="3611"/>
      <c r="R9" s="1501" t="s">
        <v>8</v>
      </c>
      <c r="S9" s="1502">
        <f t="shared" ref="S9:S17" si="0">F9</f>
        <v>0</v>
      </c>
      <c r="T9" s="1501" t="s">
        <v>8</v>
      </c>
      <c r="U9" s="1502">
        <f t="shared" ref="U9:U17" si="1">H9</f>
        <v>0</v>
      </c>
      <c r="V9" s="1501" t="s">
        <v>8</v>
      </c>
      <c r="W9" s="1502">
        <f t="shared" ref="W9:W17" si="2">J9</f>
        <v>0</v>
      </c>
      <c r="X9" s="1503"/>
      <c r="Y9" s="3609" t="s">
        <v>522</v>
      </c>
      <c r="Z9" s="3610"/>
      <c r="AA9" s="1504" t="e">
        <f>D9/F9</f>
        <v>#DIV/0!</v>
      </c>
      <c r="AB9" s="1504" t="e">
        <f>D9/H9</f>
        <v>#DIV/0!</v>
      </c>
      <c r="AC9" s="1504" t="e">
        <f>D9/J9</f>
        <v>#DIV/0!</v>
      </c>
    </row>
    <row r="10" spans="1:30" s="1201" customFormat="1" ht="21" thickBot="1">
      <c r="A10" s="2628"/>
      <c r="B10" s="2635"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5"/>
      <c r="M10" s="2012"/>
      <c r="N10" s="2012"/>
      <c r="O10" s="2016"/>
      <c r="P10" s="3609" t="s">
        <v>525</v>
      </c>
      <c r="Q10" s="3610"/>
      <c r="R10" s="1501" t="s">
        <v>8</v>
      </c>
      <c r="S10" s="1502">
        <f t="shared" si="0"/>
        <v>0</v>
      </c>
      <c r="T10" s="1501" t="s">
        <v>8</v>
      </c>
      <c r="U10" s="1502">
        <f t="shared" si="1"/>
        <v>0</v>
      </c>
      <c r="V10" s="1501" t="s">
        <v>8</v>
      </c>
      <c r="W10" s="1502">
        <f t="shared" si="2"/>
        <v>0</v>
      </c>
      <c r="X10" s="1503"/>
      <c r="Y10" s="3609" t="s">
        <v>525</v>
      </c>
      <c r="Z10" s="3610"/>
      <c r="AA10" s="1504" t="e">
        <f t="shared" ref="AA10:AA47" si="3">D10/F10</f>
        <v>#DIV/0!</v>
      </c>
      <c r="AB10" s="1504" t="e">
        <f t="shared" ref="AB10:AB47" si="4">D10/H10</f>
        <v>#DIV/0!</v>
      </c>
      <c r="AC10" s="1504" t="e">
        <f t="shared" ref="AC10:AC47" si="5">D10/J10</f>
        <v>#DIV/0!</v>
      </c>
    </row>
    <row r="11" spans="1:30" s="1201" customFormat="1" ht="20.25">
      <c r="A11" s="2629"/>
      <c r="B11" s="2636" t="s">
        <v>2734</v>
      </c>
      <c r="C11" s="2623"/>
      <c r="D11" s="250">
        <v>100</v>
      </c>
      <c r="E11" s="518"/>
      <c r="F11" s="250">
        <f>SUMIF(77:77,E11,78:78)-SUMIF(77:77,C11,78:78)+100</f>
        <v>100</v>
      </c>
      <c r="G11" s="518"/>
      <c r="H11" s="250">
        <f>SUMIF(77:77,G11,78:78)-SUMIF(77:77,C11,78:78)+100</f>
        <v>100</v>
      </c>
      <c r="I11" s="518"/>
      <c r="J11" s="250">
        <f>SUMIF(77:77,I11,78:78)-SUMIF(77:77,C11,78:78)+100</f>
        <v>100</v>
      </c>
      <c r="K11" s="516"/>
      <c r="L11" s="2015"/>
      <c r="M11" s="2012"/>
      <c r="N11" s="2012"/>
      <c r="O11" s="2017"/>
      <c r="P11" s="3578" t="s">
        <v>527</v>
      </c>
      <c r="Q11" s="1132" t="str">
        <f t="shared" ref="Q11:Q17" si="6">B11</f>
        <v>用途</v>
      </c>
      <c r="R11" s="1501" t="s">
        <v>8</v>
      </c>
      <c r="S11" s="1502">
        <f t="shared" si="0"/>
        <v>100</v>
      </c>
      <c r="T11" s="1501" t="s">
        <v>8</v>
      </c>
      <c r="U11" s="1502">
        <f t="shared" si="1"/>
        <v>100</v>
      </c>
      <c r="V11" s="1501" t="s">
        <v>8</v>
      </c>
      <c r="W11" s="1502">
        <f t="shared" si="2"/>
        <v>100</v>
      </c>
      <c r="X11" s="1503"/>
      <c r="Y11" s="3524" t="s">
        <v>528</v>
      </c>
      <c r="Z11" s="1131" t="str">
        <f t="shared" ref="Z11:Z17" si="7">Q11</f>
        <v>用途</v>
      </c>
      <c r="AA11" s="1504">
        <f t="shared" si="3"/>
        <v>1</v>
      </c>
      <c r="AB11" s="1504">
        <f t="shared" si="4"/>
        <v>1</v>
      </c>
      <c r="AC11" s="1504">
        <f t="shared" si="5"/>
        <v>1</v>
      </c>
    </row>
    <row r="12" spans="1:30" s="1290" customFormat="1" ht="27">
      <c r="A12" s="2630"/>
      <c r="B12" s="2635" t="s">
        <v>2735</v>
      </c>
      <c r="C12" s="897"/>
      <c r="D12" s="251">
        <v>100</v>
      </c>
      <c r="E12" s="521"/>
      <c r="F12" s="251" t="e">
        <f>ROUND(100/'数据-取费表'!G16,0)</f>
        <v>#DIV/0!</v>
      </c>
      <c r="G12" s="522"/>
      <c r="H12" s="251" t="e">
        <f>ROUND(100/'数据-取费表'!G16,0)</f>
        <v>#DIV/0!</v>
      </c>
      <c r="I12" s="522"/>
      <c r="J12" s="251" t="e">
        <f>ROUND(100/'数据-取费表'!G16,0)</f>
        <v>#DIV/0!</v>
      </c>
      <c r="K12" s="523"/>
      <c r="L12" s="2018"/>
      <c r="M12" s="2012"/>
      <c r="N12" s="2012"/>
      <c r="O12" s="2019"/>
      <c r="P12" s="3578"/>
      <c r="Q12" s="1132" t="str">
        <f t="shared" si="6"/>
        <v>土地使用年限（年）</v>
      </c>
      <c r="R12" s="1501" t="s">
        <v>8</v>
      </c>
      <c r="S12" s="1502" t="e">
        <f t="shared" si="0"/>
        <v>#DIV/0!</v>
      </c>
      <c r="T12" s="1501" t="s">
        <v>8</v>
      </c>
      <c r="U12" s="1502" t="e">
        <f t="shared" si="1"/>
        <v>#DIV/0!</v>
      </c>
      <c r="V12" s="1501" t="s">
        <v>8</v>
      </c>
      <c r="W12" s="1502" t="e">
        <f t="shared" si="2"/>
        <v>#DIV/0!</v>
      </c>
      <c r="X12" s="1503"/>
      <c r="Y12" s="3524"/>
      <c r="Z12" s="1131" t="str">
        <f t="shared" si="7"/>
        <v>土地使用年限（年）</v>
      </c>
      <c r="AA12" s="1504" t="e">
        <f t="shared" si="3"/>
        <v>#DIV/0!</v>
      </c>
      <c r="AB12" s="1504" t="e">
        <f t="shared" si="4"/>
        <v>#DIV/0!</v>
      </c>
      <c r="AC12" s="1504" t="e">
        <f t="shared" si="5"/>
        <v>#DIV/0!</v>
      </c>
    </row>
    <row r="13" spans="1:30" ht="20.25">
      <c r="A13" s="2631"/>
      <c r="B13" s="2635"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20"/>
      <c r="M13" s="2012"/>
      <c r="N13" s="2012"/>
      <c r="O13" s="2021"/>
      <c r="P13" s="3578"/>
      <c r="Q13" s="1132" t="str">
        <f t="shared" si="6"/>
        <v>容积率</v>
      </c>
      <c r="R13" s="1501" t="s">
        <v>8</v>
      </c>
      <c r="S13" s="1502" t="e">
        <f t="shared" si="0"/>
        <v>#N/A</v>
      </c>
      <c r="T13" s="1501" t="s">
        <v>8</v>
      </c>
      <c r="U13" s="1502" t="e">
        <f t="shared" si="1"/>
        <v>#N/A</v>
      </c>
      <c r="V13" s="1501" t="s">
        <v>8</v>
      </c>
      <c r="W13" s="1502" t="e">
        <f t="shared" si="2"/>
        <v>#N/A</v>
      </c>
      <c r="X13" s="1503"/>
      <c r="Y13" s="3524"/>
      <c r="Z13" s="1131" t="str">
        <f t="shared" si="7"/>
        <v>容积率</v>
      </c>
      <c r="AA13" s="1504" t="e">
        <f t="shared" si="3"/>
        <v>#N/A</v>
      </c>
      <c r="AB13" s="1504" t="e">
        <f t="shared" si="4"/>
        <v>#N/A</v>
      </c>
      <c r="AC13" s="1504" t="e">
        <f t="shared" si="5"/>
        <v>#N/A</v>
      </c>
    </row>
    <row r="14" spans="1:30" s="1201" customFormat="1" ht="20.25">
      <c r="A14" s="2628"/>
      <c r="B14" s="2637" t="s">
        <v>2737</v>
      </c>
      <c r="C14" s="2624"/>
      <c r="D14" s="530">
        <v>100</v>
      </c>
      <c r="E14" s="1324"/>
      <c r="F14" s="251">
        <f>SUMIF(84:84,E14,85:85)-SUMIF(84:84,C14,85:85)+100</f>
        <v>100</v>
      </c>
      <c r="G14" s="522"/>
      <c r="H14" s="251">
        <f>SUMIF(84:84,G14,85:85)-SUMIF(84:84,C14,85:85)+100</f>
        <v>100</v>
      </c>
      <c r="I14" s="521"/>
      <c r="J14" s="251">
        <f>SUMIF(84:84,I14,85:85)-SUMIF(84:84,C14,85:85)+100</f>
        <v>100</v>
      </c>
      <c r="K14" s="523"/>
      <c r="L14" s="2015"/>
      <c r="M14" s="2012"/>
      <c r="N14" s="2012"/>
      <c r="O14" s="2017"/>
      <c r="P14" s="3578"/>
      <c r="Q14" s="1132" t="str">
        <f t="shared" si="6"/>
        <v>配建</v>
      </c>
      <c r="R14" s="1501" t="s">
        <v>8</v>
      </c>
      <c r="S14" s="1502">
        <f t="shared" si="0"/>
        <v>100</v>
      </c>
      <c r="T14" s="1501" t="s">
        <v>8</v>
      </c>
      <c r="U14" s="1502">
        <f t="shared" si="1"/>
        <v>100</v>
      </c>
      <c r="V14" s="1501" t="s">
        <v>8</v>
      </c>
      <c r="W14" s="1502">
        <f t="shared" si="2"/>
        <v>100</v>
      </c>
      <c r="X14" s="1503"/>
      <c r="Y14" s="3524"/>
      <c r="Z14" s="1131" t="str">
        <f t="shared" si="7"/>
        <v>配建</v>
      </c>
      <c r="AA14" s="1504">
        <f>D14/F14</f>
        <v>1</v>
      </c>
      <c r="AB14" s="1504">
        <f>D14/H14</f>
        <v>1</v>
      </c>
      <c r="AC14" s="1504">
        <f>D14/J14</f>
        <v>1</v>
      </c>
    </row>
    <row r="15" spans="1:30" ht="20.25">
      <c r="A15" s="2632"/>
      <c r="B15" s="2638">
        <v>111</v>
      </c>
      <c r="C15" s="899"/>
      <c r="D15" s="532">
        <v>100</v>
      </c>
      <c r="E15" s="533"/>
      <c r="F15" s="251">
        <f>SUMIF(86:86,E15,87:87)-SUMIF(86:86,C15,87:87)+100</f>
        <v>100</v>
      </c>
      <c r="G15" s="534"/>
      <c r="H15" s="532">
        <f>SUMIF(86:86,G15,87:87)-SUMIF(86:86,C15,87:87)+100</f>
        <v>100</v>
      </c>
      <c r="I15" s="534"/>
      <c r="J15" s="532">
        <f>SUMIF(86:86,I15,87:87)-SUMIF(86:86,C15,87:87)+100</f>
        <v>100</v>
      </c>
      <c r="K15" s="523"/>
      <c r="L15" s="2022"/>
      <c r="M15" s="2012"/>
      <c r="N15" s="2012"/>
      <c r="O15" s="2021"/>
      <c r="P15" s="3578"/>
      <c r="Q15" s="1132">
        <f t="shared" si="6"/>
        <v>111</v>
      </c>
      <c r="R15" s="1501" t="s">
        <v>8</v>
      </c>
      <c r="S15" s="1502">
        <f t="shared" si="0"/>
        <v>100</v>
      </c>
      <c r="T15" s="1501" t="s">
        <v>8</v>
      </c>
      <c r="U15" s="1502">
        <f t="shared" si="1"/>
        <v>100</v>
      </c>
      <c r="V15" s="1501" t="s">
        <v>8</v>
      </c>
      <c r="W15" s="1502">
        <f t="shared" si="2"/>
        <v>100</v>
      </c>
      <c r="X15" s="1503"/>
      <c r="Y15" s="3524"/>
      <c r="Z15" s="1131">
        <f t="shared" si="7"/>
        <v>111</v>
      </c>
      <c r="AA15" s="1504">
        <f>D15/F15</f>
        <v>1</v>
      </c>
      <c r="AB15" s="1504">
        <f>D15/H15</f>
        <v>1</v>
      </c>
      <c r="AC15" s="1504">
        <f>D15/J15</f>
        <v>1</v>
      </c>
    </row>
    <row r="16" spans="1:30" ht="21" thickBot="1">
      <c r="A16" s="2633"/>
      <c r="B16" s="2639">
        <v>111</v>
      </c>
      <c r="C16" s="902"/>
      <c r="D16" s="538">
        <v>100</v>
      </c>
      <c r="E16" s="533"/>
      <c r="F16" s="538">
        <f>SUMIF(88:88,E16,89:89)-SUMIF(88:88,C16,89:89)+100</f>
        <v>100</v>
      </c>
      <c r="G16" s="534"/>
      <c r="H16" s="538">
        <f>SUMIF(88:88,G16,89:89)-SUMIF(88:88,C16,89:89)+100</f>
        <v>100</v>
      </c>
      <c r="I16" s="534"/>
      <c r="J16" s="538">
        <f>SUMIF(88:88,I16,89:89)-SUMIF(88:88,C16,89:89)+100</f>
        <v>100</v>
      </c>
      <c r="K16" s="523"/>
      <c r="L16" s="2022"/>
      <c r="M16" s="2012"/>
      <c r="N16" s="2012"/>
      <c r="O16" s="2021"/>
      <c r="P16" s="3578"/>
      <c r="Q16" s="1132">
        <f t="shared" si="6"/>
        <v>111</v>
      </c>
      <c r="R16" s="1501" t="s">
        <v>8</v>
      </c>
      <c r="S16" s="1502">
        <f t="shared" si="0"/>
        <v>100</v>
      </c>
      <c r="T16" s="1501" t="s">
        <v>8</v>
      </c>
      <c r="U16" s="1502">
        <f t="shared" si="1"/>
        <v>100</v>
      </c>
      <c r="V16" s="1501" t="s">
        <v>8</v>
      </c>
      <c r="W16" s="1502">
        <f t="shared" si="2"/>
        <v>100</v>
      </c>
      <c r="X16" s="1503"/>
      <c r="Y16" s="3524"/>
      <c r="Z16" s="1131">
        <f t="shared" si="7"/>
        <v>111</v>
      </c>
      <c r="AA16" s="1504">
        <f>D16/F16</f>
        <v>1</v>
      </c>
      <c r="AB16" s="1504">
        <f>D16/H16</f>
        <v>1</v>
      </c>
      <c r="AC16" s="1504">
        <f>D16/J16</f>
        <v>1</v>
      </c>
    </row>
    <row r="17" spans="1:29" ht="99.75">
      <c r="A17" s="2625"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2"/>
      <c r="M17" s="2012"/>
      <c r="N17" s="2012"/>
      <c r="O17" s="2021"/>
      <c r="P17" s="3612" t="s">
        <v>532</v>
      </c>
      <c r="Q17" s="1505" t="str">
        <f t="shared" si="6"/>
        <v>居住社区成熟度</v>
      </c>
      <c r="R17" s="1506" t="s">
        <v>8</v>
      </c>
      <c r="S17" s="1507">
        <f t="shared" si="0"/>
        <v>100</v>
      </c>
      <c r="T17" s="1506" t="s">
        <v>8</v>
      </c>
      <c r="U17" s="1507">
        <f t="shared" si="1"/>
        <v>100</v>
      </c>
      <c r="V17" s="1506" t="s">
        <v>8</v>
      </c>
      <c r="W17" s="1507">
        <f t="shared" si="2"/>
        <v>100</v>
      </c>
      <c r="X17" s="1500"/>
      <c r="Y17" s="3612" t="s">
        <v>532</v>
      </c>
      <c r="Z17" s="1508" t="str">
        <f t="shared" si="7"/>
        <v>居住社区成熟度</v>
      </c>
      <c r="AA17" s="1509">
        <f t="shared" si="3"/>
        <v>1</v>
      </c>
      <c r="AB17" s="1509">
        <f t="shared" si="4"/>
        <v>1</v>
      </c>
      <c r="AC17" s="1509">
        <f t="shared" si="5"/>
        <v>1</v>
      </c>
    </row>
    <row r="18" spans="1:29" ht="20.25">
      <c r="A18" s="524"/>
      <c r="B18" s="545"/>
      <c r="C18" s="546"/>
      <c r="D18" s="549"/>
      <c r="E18" s="550"/>
      <c r="F18" s="547"/>
      <c r="G18" s="548"/>
      <c r="H18" s="551"/>
      <c r="I18" s="550"/>
      <c r="J18" s="547"/>
      <c r="K18" s="523"/>
      <c r="L18" s="2022"/>
      <c r="M18" s="2012"/>
      <c r="N18" s="2012"/>
      <c r="O18" s="2021"/>
      <c r="P18" s="3613"/>
      <c r="Q18" s="1505"/>
      <c r="R18" s="1506"/>
      <c r="S18" s="1507"/>
      <c r="T18" s="1506"/>
      <c r="U18" s="1507"/>
      <c r="V18" s="1506"/>
      <c r="W18" s="1507"/>
      <c r="X18" s="1500"/>
      <c r="Y18" s="3613"/>
      <c r="Z18" s="1508"/>
      <c r="AA18" s="1509">
        <v>1</v>
      </c>
      <c r="AB18" s="1509">
        <v>1</v>
      </c>
      <c r="AC18" s="1509">
        <v>1</v>
      </c>
    </row>
    <row r="19" spans="1:29" ht="156.75">
      <c r="A19" s="524"/>
      <c r="B19" s="552" t="s">
        <v>533</v>
      </c>
      <c r="C19" s="553" t="str">
        <f>估价对象房地状况!C16</f>
        <v>周边有万达广场（通州店）、华联商厦（新华大街店）、京客隆超市（东关店）、华联超市（新华大街店）等商业服务设施，分布较为集中，综合考虑商业繁华度较好</v>
      </c>
      <c r="D19" s="555">
        <v>100</v>
      </c>
      <c r="E19" s="556"/>
      <c r="F19" s="551">
        <f>SUMIF(92:92,E20,93:93)-SUMIF(92:92,C20,93:93)+100</f>
        <v>100</v>
      </c>
      <c r="G19" s="554"/>
      <c r="H19" s="557">
        <f>SUMIF(92:92,G20,93:93)-SUMIF(92:92,C20,93:93)+100</f>
        <v>100</v>
      </c>
      <c r="I19" s="556"/>
      <c r="J19" s="557">
        <f>SUMIF(92:92,I20,93:93)-SUMIF(92:92,C20,93:93)+100</f>
        <v>100</v>
      </c>
      <c r="K19" s="527"/>
      <c r="L19" s="2022"/>
      <c r="M19" s="2012"/>
      <c r="N19" s="2012"/>
      <c r="O19" s="2021"/>
      <c r="P19" s="3613"/>
      <c r="Q19" s="1505" t="str">
        <f>B19</f>
        <v>商业繁华度</v>
      </c>
      <c r="R19" s="1506" t="s">
        <v>8</v>
      </c>
      <c r="S19" s="1507">
        <f>F19</f>
        <v>100</v>
      </c>
      <c r="T19" s="1506" t="s">
        <v>8</v>
      </c>
      <c r="U19" s="1507">
        <f>H19</f>
        <v>100</v>
      </c>
      <c r="V19" s="1506" t="s">
        <v>8</v>
      </c>
      <c r="W19" s="1507">
        <f>J19</f>
        <v>100</v>
      </c>
      <c r="X19" s="1500"/>
      <c r="Y19" s="3613"/>
      <c r="Z19" s="1508" t="str">
        <f>Q19</f>
        <v>商业繁华度</v>
      </c>
      <c r="AA19" s="1509">
        <f t="shared" si="3"/>
        <v>1</v>
      </c>
      <c r="AB19" s="1509">
        <f t="shared" si="4"/>
        <v>1</v>
      </c>
      <c r="AC19" s="1509">
        <f t="shared" si="5"/>
        <v>1</v>
      </c>
    </row>
    <row r="20" spans="1:29" ht="20.25">
      <c r="A20" s="524"/>
      <c r="B20" s="558"/>
      <c r="C20" s="559"/>
      <c r="D20" s="555"/>
      <c r="E20" s="561"/>
      <c r="F20" s="551"/>
      <c r="G20" s="560"/>
      <c r="H20" s="547"/>
      <c r="I20" s="561"/>
      <c r="J20" s="547"/>
      <c r="K20" s="523"/>
      <c r="L20" s="2022"/>
      <c r="M20" s="2012"/>
      <c r="N20" s="2012"/>
      <c r="O20" s="2021"/>
      <c r="P20" s="3613"/>
      <c r="Q20" s="1505"/>
      <c r="R20" s="1506"/>
      <c r="S20" s="1507"/>
      <c r="T20" s="1506"/>
      <c r="U20" s="1507"/>
      <c r="V20" s="1506"/>
      <c r="W20" s="1507"/>
      <c r="X20" s="1500"/>
      <c r="Y20" s="3613"/>
      <c r="Z20" s="1508"/>
      <c r="AA20" s="1509">
        <v>1</v>
      </c>
      <c r="AB20" s="1509">
        <v>1</v>
      </c>
      <c r="AC20" s="1509">
        <v>1</v>
      </c>
    </row>
    <row r="21" spans="1:29" ht="114">
      <c r="A21" s="524"/>
      <c r="B21" s="552" t="s">
        <v>534</v>
      </c>
      <c r="C21" s="553" t="str">
        <f>估价对象房地状况!C17</f>
        <v>周边有京贸中心、东长安街写字楼、绿地中央广场（通州）、通州富力中心等多个办公楼项目，办公集聚程度较好。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2"/>
      <c r="M21" s="2012"/>
      <c r="N21" s="2012"/>
      <c r="O21" s="2021"/>
      <c r="P21" s="3613"/>
      <c r="Q21" s="1505" t="str">
        <f>B21</f>
        <v>办公集聚程度</v>
      </c>
      <c r="R21" s="1506" t="s">
        <v>8</v>
      </c>
      <c r="S21" s="1507">
        <f>F21</f>
        <v>100</v>
      </c>
      <c r="T21" s="1506" t="s">
        <v>8</v>
      </c>
      <c r="U21" s="1507">
        <f>H21</f>
        <v>100</v>
      </c>
      <c r="V21" s="1506" t="s">
        <v>8</v>
      </c>
      <c r="W21" s="1507">
        <f>J21</f>
        <v>100</v>
      </c>
      <c r="X21" s="1500"/>
      <c r="Y21" s="3613"/>
      <c r="Z21" s="1508" t="str">
        <f>Q21</f>
        <v>办公集聚程度</v>
      </c>
      <c r="AA21" s="1509">
        <f t="shared" si="3"/>
        <v>1</v>
      </c>
      <c r="AB21" s="1509">
        <f t="shared" si="4"/>
        <v>1</v>
      </c>
      <c r="AC21" s="1509">
        <f t="shared" si="5"/>
        <v>1</v>
      </c>
    </row>
    <row r="22" spans="1:29" ht="20.25">
      <c r="A22" s="524"/>
      <c r="B22" s="558"/>
      <c r="C22" s="546"/>
      <c r="D22" s="549"/>
      <c r="E22" s="550"/>
      <c r="F22" s="547"/>
      <c r="G22" s="548"/>
      <c r="H22" s="547"/>
      <c r="I22" s="550"/>
      <c r="J22" s="547"/>
      <c r="K22" s="523"/>
      <c r="L22" s="2022"/>
      <c r="M22" s="2012"/>
      <c r="N22" s="2012"/>
      <c r="O22" s="2021"/>
      <c r="P22" s="3613"/>
      <c r="Q22" s="1505"/>
      <c r="R22" s="1506"/>
      <c r="S22" s="1507"/>
      <c r="T22" s="1506"/>
      <c r="U22" s="1507"/>
      <c r="V22" s="1506"/>
      <c r="W22" s="1507"/>
      <c r="X22" s="1500"/>
      <c r="Y22" s="3613"/>
      <c r="Z22" s="1508"/>
      <c r="AA22" s="1509">
        <v>1</v>
      </c>
      <c r="AB22" s="1509">
        <v>1</v>
      </c>
      <c r="AC22" s="1509">
        <v>1</v>
      </c>
    </row>
    <row r="23" spans="1:29" ht="156.75">
      <c r="A23" s="524"/>
      <c r="B23" s="552" t="s">
        <v>535</v>
      </c>
      <c r="C23" s="565" t="str">
        <f>估价对象房地状况!C18</f>
        <v>周边有通322路、342路、589路、667路、804路、808路、通19路、通41路、通62路等多条公交线路通过，距地铁6号线（北运河西站）约1公里，综合评价交通便捷度较好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2"/>
      <c r="M23" s="2012"/>
      <c r="N23" s="2012"/>
      <c r="O23" s="2021"/>
      <c r="P23" s="3613"/>
      <c r="Q23" s="1505" t="str">
        <f>B23</f>
        <v>交通便捷度</v>
      </c>
      <c r="R23" s="1506" t="s">
        <v>8</v>
      </c>
      <c r="S23" s="1507">
        <f>F23</f>
        <v>100</v>
      </c>
      <c r="T23" s="1506" t="s">
        <v>8</v>
      </c>
      <c r="U23" s="1507">
        <f>H23</f>
        <v>100</v>
      </c>
      <c r="V23" s="1506" t="s">
        <v>8</v>
      </c>
      <c r="W23" s="1507">
        <f>J23</f>
        <v>100</v>
      </c>
      <c r="X23" s="1500"/>
      <c r="Y23" s="3613"/>
      <c r="Z23" s="1508" t="str">
        <f>Q23</f>
        <v>交通便捷度</v>
      </c>
      <c r="AA23" s="1509">
        <f t="shared" si="3"/>
        <v>1</v>
      </c>
      <c r="AB23" s="1509">
        <f t="shared" si="4"/>
        <v>1</v>
      </c>
      <c r="AC23" s="1509">
        <f t="shared" si="5"/>
        <v>1</v>
      </c>
    </row>
    <row r="24" spans="1:29" ht="20.25">
      <c r="A24" s="524"/>
      <c r="B24" s="570"/>
      <c r="C24" s="546"/>
      <c r="D24" s="549"/>
      <c r="E24" s="550"/>
      <c r="F24" s="547"/>
      <c r="G24" s="548"/>
      <c r="H24" s="547"/>
      <c r="I24" s="550"/>
      <c r="J24" s="547"/>
      <c r="K24" s="523"/>
      <c r="L24" s="2022"/>
      <c r="M24" s="2012"/>
      <c r="N24" s="2012"/>
      <c r="O24" s="2021"/>
      <c r="P24" s="3613"/>
      <c r="Q24" s="1505"/>
      <c r="R24" s="1506"/>
      <c r="S24" s="1507"/>
      <c r="T24" s="1506"/>
      <c r="U24" s="1507"/>
      <c r="V24" s="1506"/>
      <c r="W24" s="1507"/>
      <c r="X24" s="1500"/>
      <c r="Y24" s="3613"/>
      <c r="Z24" s="1508"/>
      <c r="AA24" s="1509">
        <v>1</v>
      </c>
      <c r="AB24" s="1509">
        <v>1</v>
      </c>
      <c r="AC24" s="1509">
        <v>1</v>
      </c>
    </row>
    <row r="25" spans="1:29" ht="27">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2"/>
      <c r="M25" s="2012"/>
      <c r="N25" s="2012"/>
      <c r="O25" s="2021"/>
      <c r="P25" s="3613"/>
      <c r="Q25" s="1505" t="str">
        <f t="shared" ref="Q25:Q39" si="8">B25</f>
        <v>区域土地利用方向</v>
      </c>
      <c r="R25" s="1506" t="s">
        <v>8</v>
      </c>
      <c r="S25" s="1507">
        <f>F25</f>
        <v>100</v>
      </c>
      <c r="T25" s="1506" t="s">
        <v>8</v>
      </c>
      <c r="U25" s="1507">
        <f>H25</f>
        <v>100</v>
      </c>
      <c r="V25" s="1506" t="s">
        <v>8</v>
      </c>
      <c r="W25" s="1507">
        <f>J25</f>
        <v>100</v>
      </c>
      <c r="X25" s="1500"/>
      <c r="Y25" s="3613"/>
      <c r="Z25" s="1508" t="str">
        <f>Q25</f>
        <v>区域土地利用方向</v>
      </c>
      <c r="AA25" s="1509">
        <f t="shared" si="3"/>
        <v>1</v>
      </c>
      <c r="AB25" s="1509">
        <f t="shared" si="4"/>
        <v>1</v>
      </c>
      <c r="AC25" s="1509">
        <f t="shared" si="5"/>
        <v>1</v>
      </c>
    </row>
    <row r="26" spans="1:29" ht="20.25">
      <c r="A26" s="507"/>
      <c r="B26" s="992"/>
      <c r="C26" s="546"/>
      <c r="D26" s="549"/>
      <c r="E26" s="550"/>
      <c r="F26" s="547"/>
      <c r="G26" s="548"/>
      <c r="H26" s="547"/>
      <c r="I26" s="550"/>
      <c r="J26" s="547"/>
      <c r="K26" s="523"/>
      <c r="L26" s="2022"/>
      <c r="M26" s="2012"/>
      <c r="N26" s="2012"/>
      <c r="O26" s="2021"/>
      <c r="P26" s="3613"/>
      <c r="Q26" s="1505"/>
      <c r="R26" s="1506"/>
      <c r="S26" s="1507"/>
      <c r="T26" s="1506"/>
      <c r="U26" s="1507"/>
      <c r="V26" s="1506"/>
      <c r="W26" s="1507"/>
      <c r="X26" s="1500"/>
      <c r="Y26" s="3613"/>
      <c r="Z26" s="1508"/>
      <c r="AA26" s="1509"/>
      <c r="AB26" s="1509"/>
      <c r="AC26" s="1509"/>
    </row>
    <row r="27" spans="1:29" ht="185.25">
      <c r="A27" s="507"/>
      <c r="B27" s="570" t="s">
        <v>537</v>
      </c>
      <c r="C27" s="55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2"/>
      <c r="M27" s="2012"/>
      <c r="N27" s="2012"/>
      <c r="O27" s="2021"/>
      <c r="P27" s="3613"/>
      <c r="Q27" s="1505" t="str">
        <f t="shared" si="8"/>
        <v>自然及人文环境状况</v>
      </c>
      <c r="R27" s="1506" t="s">
        <v>8</v>
      </c>
      <c r="S27" s="1507">
        <f>F27</f>
        <v>100</v>
      </c>
      <c r="T27" s="1506" t="s">
        <v>8</v>
      </c>
      <c r="U27" s="1507">
        <f>H27</f>
        <v>100</v>
      </c>
      <c r="V27" s="1506" t="s">
        <v>8</v>
      </c>
      <c r="W27" s="1507">
        <f>J27</f>
        <v>100</v>
      </c>
      <c r="X27" s="1500"/>
      <c r="Y27" s="3613"/>
      <c r="Z27" s="1508" t="str">
        <f>Q27</f>
        <v>自然及人文环境状况</v>
      </c>
      <c r="AA27" s="1509">
        <f t="shared" si="3"/>
        <v>1</v>
      </c>
      <c r="AB27" s="1509">
        <f t="shared" si="4"/>
        <v>1</v>
      </c>
      <c r="AC27" s="1509">
        <f t="shared" si="5"/>
        <v>1</v>
      </c>
    </row>
    <row r="28" spans="1:29" ht="20.25">
      <c r="A28" s="507"/>
      <c r="B28" s="558"/>
      <c r="C28" s="546"/>
      <c r="D28" s="549"/>
      <c r="E28" s="568"/>
      <c r="F28" s="547"/>
      <c r="G28" s="546"/>
      <c r="H28" s="547"/>
      <c r="I28" s="568"/>
      <c r="J28" s="547"/>
      <c r="K28" s="523"/>
      <c r="L28" s="2022"/>
      <c r="M28" s="2012"/>
      <c r="N28" s="2012"/>
      <c r="O28" s="2021"/>
      <c r="P28" s="3613"/>
      <c r="Q28" s="1505"/>
      <c r="R28" s="1506"/>
      <c r="S28" s="1507"/>
      <c r="T28" s="1506"/>
      <c r="U28" s="1507"/>
      <c r="V28" s="1506"/>
      <c r="W28" s="1507"/>
      <c r="X28" s="1500"/>
      <c r="Y28" s="3613"/>
      <c r="Z28" s="1508"/>
      <c r="AA28" s="1509">
        <v>1</v>
      </c>
      <c r="AB28" s="1509">
        <v>1</v>
      </c>
      <c r="AC28" s="1509">
        <v>1</v>
      </c>
    </row>
    <row r="29" spans="1:29" s="1201" customFormat="1" ht="342">
      <c r="A29" s="569"/>
      <c r="B29" s="2433" t="s">
        <v>2527</v>
      </c>
      <c r="C29" s="56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5"/>
      <c r="M29" s="2012"/>
      <c r="N29" s="2012"/>
      <c r="O29" s="2017"/>
      <c r="P29" s="3613"/>
      <c r="Q29" s="1132" t="str">
        <f t="shared" si="8"/>
        <v>公共配套设施</v>
      </c>
      <c r="R29" s="1501" t="s">
        <v>8</v>
      </c>
      <c r="S29" s="1502">
        <f>F29</f>
        <v>100</v>
      </c>
      <c r="T29" s="1501" t="s">
        <v>8</v>
      </c>
      <c r="U29" s="1502">
        <f>H29</f>
        <v>100</v>
      </c>
      <c r="V29" s="1501" t="s">
        <v>8</v>
      </c>
      <c r="W29" s="1502">
        <f>J29</f>
        <v>100</v>
      </c>
      <c r="X29" s="1503"/>
      <c r="Y29" s="3613"/>
      <c r="Z29" s="1131" t="str">
        <f>Q29</f>
        <v>公共配套设施</v>
      </c>
      <c r="AA29" s="1509">
        <f>D29/F29</f>
        <v>1</v>
      </c>
      <c r="AB29" s="1509">
        <f>D29/H29</f>
        <v>1</v>
      </c>
      <c r="AC29" s="1509">
        <f>D29/J29</f>
        <v>1</v>
      </c>
    </row>
    <row r="30" spans="1:29" s="1201" customFormat="1" ht="20.25">
      <c r="A30" s="569"/>
      <c r="B30" s="558"/>
      <c r="C30" s="571"/>
      <c r="D30" s="549"/>
      <c r="E30" s="568"/>
      <c r="F30" s="547"/>
      <c r="G30" s="546"/>
      <c r="H30" s="547"/>
      <c r="I30" s="568"/>
      <c r="J30" s="547"/>
      <c r="K30" s="523"/>
      <c r="L30" s="2015"/>
      <c r="M30" s="2012"/>
      <c r="N30" s="2012"/>
      <c r="O30" s="2017"/>
      <c r="P30" s="3613"/>
      <c r="Q30" s="1132"/>
      <c r="R30" s="1501"/>
      <c r="S30" s="1502"/>
      <c r="T30" s="1501"/>
      <c r="U30" s="1502"/>
      <c r="V30" s="1501"/>
      <c r="W30" s="1502"/>
      <c r="X30" s="1503"/>
      <c r="Y30" s="3613"/>
      <c r="Z30" s="1131"/>
      <c r="AA30" s="1509">
        <v>1</v>
      </c>
      <c r="AB30" s="1509">
        <v>1</v>
      </c>
      <c r="AC30" s="1509">
        <v>1</v>
      </c>
    </row>
    <row r="31" spans="1:29" s="1201" customFormat="1" ht="156.75">
      <c r="A31" s="569"/>
      <c r="B31" s="2433" t="s">
        <v>2528</v>
      </c>
      <c r="C31" s="565" t="str">
        <f>估价对象房地状况!C22</f>
        <v>估价对象所在区域内基础设施配套条件达到“七通”（即通路、通上水、通下水、通电、通讯、通燃气、通热力），能够保证工作、生产需要，基础设施配套完善度好。</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5"/>
      <c r="M31" s="2012"/>
      <c r="N31" s="2012"/>
      <c r="O31" s="2017"/>
      <c r="P31" s="3613"/>
      <c r="Q31" s="2426" t="str">
        <f t="shared" ref="Q31" si="9">B31</f>
        <v>基础设施水平</v>
      </c>
      <c r="R31" s="1501" t="s">
        <v>8</v>
      </c>
      <c r="S31" s="1502">
        <f>F31</f>
        <v>100</v>
      </c>
      <c r="T31" s="1501" t="s">
        <v>8</v>
      </c>
      <c r="U31" s="1502">
        <f>H31</f>
        <v>100</v>
      </c>
      <c r="V31" s="1501" t="s">
        <v>8</v>
      </c>
      <c r="W31" s="1502">
        <f>J31</f>
        <v>100</v>
      </c>
      <c r="X31" s="1503"/>
      <c r="Y31" s="3613"/>
      <c r="Z31" s="2425" t="str">
        <f>Q31</f>
        <v>基础设施水平</v>
      </c>
      <c r="AA31" s="1509">
        <f>D31/F31</f>
        <v>1</v>
      </c>
      <c r="AB31" s="1509">
        <f>D31/H31</f>
        <v>1</v>
      </c>
      <c r="AC31" s="1509">
        <f>D31/J31</f>
        <v>1</v>
      </c>
    </row>
    <row r="32" spans="1:29" s="1201" customFormat="1" ht="20.25">
      <c r="A32" s="569"/>
      <c r="B32" s="558"/>
      <c r="C32" s="571"/>
      <c r="D32" s="549"/>
      <c r="E32" s="2434"/>
      <c r="F32" s="547"/>
      <c r="G32" s="571"/>
      <c r="H32" s="547"/>
      <c r="I32" s="571"/>
      <c r="J32" s="547"/>
      <c r="K32" s="523"/>
      <c r="L32" s="2015"/>
      <c r="M32" s="2012"/>
      <c r="N32" s="2012"/>
      <c r="O32" s="2017"/>
      <c r="P32" s="3613"/>
      <c r="Q32" s="2426"/>
      <c r="R32" s="1501"/>
      <c r="S32" s="1502"/>
      <c r="T32" s="1501"/>
      <c r="U32" s="1502"/>
      <c r="V32" s="1501"/>
      <c r="W32" s="1502"/>
      <c r="X32" s="1503"/>
      <c r="Y32" s="3613"/>
      <c r="Z32" s="2425"/>
      <c r="AA32" s="1509">
        <v>1</v>
      </c>
      <c r="AB32" s="1509">
        <v>1</v>
      </c>
      <c r="AC32" s="1509">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2"/>
      <c r="M33" s="2012"/>
      <c r="N33" s="2012"/>
      <c r="O33" s="2021"/>
      <c r="P33" s="3613"/>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613"/>
      <c r="Z33" s="1508" t="str">
        <f t="shared" ref="Z33:Z47" si="13">Q33</f>
        <v>临街状况</v>
      </c>
      <c r="AA33" s="1509">
        <f t="shared" si="3"/>
        <v>1</v>
      </c>
      <c r="AB33" s="1509">
        <f t="shared" si="4"/>
        <v>1</v>
      </c>
      <c r="AC33" s="1509">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2"/>
      <c r="M34" s="2012"/>
      <c r="N34" s="2012"/>
      <c r="O34" s="2021"/>
      <c r="P34" s="3613"/>
      <c r="Q34" s="1505" t="str">
        <f t="shared" si="8"/>
        <v>毗邻道路的类型与等级</v>
      </c>
      <c r="R34" s="1506" t="s">
        <v>8</v>
      </c>
      <c r="S34" s="1507">
        <f t="shared" si="10"/>
        <v>100</v>
      </c>
      <c r="T34" s="1506" t="s">
        <v>8</v>
      </c>
      <c r="U34" s="1507">
        <f t="shared" si="11"/>
        <v>100</v>
      </c>
      <c r="V34" s="1506" t="s">
        <v>8</v>
      </c>
      <c r="W34" s="1507">
        <f t="shared" si="12"/>
        <v>100</v>
      </c>
      <c r="X34" s="1500"/>
      <c r="Y34" s="3613"/>
      <c r="Z34" s="1508" t="str">
        <f t="shared" si="13"/>
        <v>毗邻道路的类型与等级</v>
      </c>
      <c r="AA34" s="1509">
        <f t="shared" si="3"/>
        <v>1</v>
      </c>
      <c r="AB34" s="1509">
        <f t="shared" si="4"/>
        <v>1</v>
      </c>
      <c r="AC34" s="1509">
        <f t="shared" si="5"/>
        <v>1</v>
      </c>
    </row>
    <row r="35" spans="1:29" ht="20.25">
      <c r="A35" s="524"/>
      <c r="B35" s="558"/>
      <c r="C35" s="546"/>
      <c r="D35" s="549"/>
      <c r="E35" s="568"/>
      <c r="F35" s="547"/>
      <c r="G35" s="546"/>
      <c r="H35" s="547"/>
      <c r="I35" s="568"/>
      <c r="J35" s="547"/>
      <c r="K35" s="573"/>
      <c r="L35" s="2022"/>
      <c r="M35" s="2012"/>
      <c r="N35" s="2012"/>
      <c r="O35" s="2021"/>
      <c r="P35" s="3613"/>
      <c r="Q35" s="1505"/>
      <c r="R35" s="1506"/>
      <c r="S35" s="1507"/>
      <c r="T35" s="1506"/>
      <c r="U35" s="1507"/>
      <c r="V35" s="1506"/>
      <c r="W35" s="1507"/>
      <c r="X35" s="1500"/>
      <c r="Y35" s="3613"/>
      <c r="Z35" s="1508"/>
      <c r="AA35" s="1509">
        <v>1</v>
      </c>
      <c r="AB35" s="1509">
        <v>1</v>
      </c>
      <c r="AC35" s="1509">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2"/>
      <c r="M36" s="2012"/>
      <c r="N36" s="2012"/>
      <c r="O36" s="2021"/>
      <c r="P36" s="3613"/>
      <c r="Q36" s="1505" t="str">
        <f t="shared" si="8"/>
        <v>土地级别</v>
      </c>
      <c r="R36" s="1506" t="s">
        <v>8</v>
      </c>
      <c r="S36" s="1507">
        <f t="shared" si="10"/>
        <v>100</v>
      </c>
      <c r="T36" s="1506" t="s">
        <v>8</v>
      </c>
      <c r="U36" s="1507">
        <f t="shared" si="11"/>
        <v>100</v>
      </c>
      <c r="V36" s="1506" t="s">
        <v>8</v>
      </c>
      <c r="W36" s="1507">
        <f t="shared" si="12"/>
        <v>100</v>
      </c>
      <c r="X36" s="1500"/>
      <c r="Y36" s="3613"/>
      <c r="Z36" s="1508" t="str">
        <f t="shared" si="13"/>
        <v>土地级别</v>
      </c>
      <c r="AA36" s="1509">
        <f t="shared" si="3"/>
        <v>1</v>
      </c>
      <c r="AB36" s="1509">
        <f t="shared" si="4"/>
        <v>1</v>
      </c>
      <c r="AC36" s="1509">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2"/>
      <c r="M37" s="2012"/>
      <c r="N37" s="2012"/>
      <c r="O37" s="2021"/>
      <c r="P37" s="3613"/>
      <c r="Q37" s="1505">
        <f t="shared" si="8"/>
        <v>111</v>
      </c>
      <c r="R37" s="1506" t="s">
        <v>8</v>
      </c>
      <c r="S37" s="1507">
        <f t="shared" si="10"/>
        <v>100</v>
      </c>
      <c r="T37" s="1506" t="s">
        <v>8</v>
      </c>
      <c r="U37" s="1507">
        <f t="shared" si="11"/>
        <v>100</v>
      </c>
      <c r="V37" s="1506" t="s">
        <v>8</v>
      </c>
      <c r="W37" s="1507">
        <f t="shared" si="12"/>
        <v>100</v>
      </c>
      <c r="X37" s="1500"/>
      <c r="Y37" s="3613"/>
      <c r="Z37" s="1508">
        <f t="shared" si="13"/>
        <v>111</v>
      </c>
      <c r="AA37" s="1509">
        <f t="shared" si="3"/>
        <v>1</v>
      </c>
      <c r="AB37" s="1509">
        <f t="shared" si="4"/>
        <v>1</v>
      </c>
      <c r="AC37" s="1509">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2"/>
      <c r="M38" s="2012"/>
      <c r="N38" s="2012"/>
      <c r="O38" s="2021"/>
      <c r="P38" s="3614" t="s">
        <v>542</v>
      </c>
      <c r="Q38" s="1505">
        <f t="shared" si="8"/>
        <v>111</v>
      </c>
      <c r="R38" s="1506" t="s">
        <v>8</v>
      </c>
      <c r="S38" s="1507">
        <f t="shared" si="10"/>
        <v>100</v>
      </c>
      <c r="T38" s="1506" t="s">
        <v>8</v>
      </c>
      <c r="U38" s="1507">
        <f t="shared" si="11"/>
        <v>100</v>
      </c>
      <c r="V38" s="1506" t="s">
        <v>8</v>
      </c>
      <c r="W38" s="1507">
        <f t="shared" si="12"/>
        <v>100</v>
      </c>
      <c r="X38" s="1500"/>
      <c r="Y38" s="3615" t="s">
        <v>542</v>
      </c>
      <c r="Z38" s="1508">
        <f t="shared" si="13"/>
        <v>111</v>
      </c>
      <c r="AA38" s="1509">
        <f t="shared" si="3"/>
        <v>1</v>
      </c>
      <c r="AB38" s="1509">
        <f t="shared" si="4"/>
        <v>1</v>
      </c>
      <c r="AC38" s="1509">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20"/>
      <c r="M39" s="2012"/>
      <c r="N39" s="2012"/>
      <c r="O39" s="2023"/>
      <c r="P39" s="3615"/>
      <c r="Q39" s="1505">
        <f t="shared" si="8"/>
        <v>111</v>
      </c>
      <c r="R39" s="1510" t="s">
        <v>8</v>
      </c>
      <c r="S39" s="1511">
        <f t="shared" si="10"/>
        <v>100</v>
      </c>
      <c r="T39" s="1510" t="s">
        <v>8</v>
      </c>
      <c r="U39" s="1511">
        <f t="shared" si="11"/>
        <v>100</v>
      </c>
      <c r="V39" s="1510" t="s">
        <v>8</v>
      </c>
      <c r="W39" s="1511">
        <f t="shared" si="12"/>
        <v>100</v>
      </c>
      <c r="X39" s="1512"/>
      <c r="Y39" s="3615"/>
      <c r="Z39" s="1513">
        <f t="shared" si="13"/>
        <v>111</v>
      </c>
      <c r="AA39" s="1509">
        <f t="shared" si="3"/>
        <v>1</v>
      </c>
      <c r="AB39" s="1509">
        <f t="shared" si="4"/>
        <v>1</v>
      </c>
      <c r="AC39" s="1509">
        <f t="shared" si="5"/>
        <v>1</v>
      </c>
    </row>
    <row r="40" spans="1:29" ht="20.25">
      <c r="A40" s="2622"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2"/>
      <c r="M40" s="2012"/>
      <c r="N40" s="2012"/>
      <c r="O40" s="2021"/>
      <c r="P40" s="3615"/>
      <c r="Q40" s="1505" t="str">
        <f>B40</f>
        <v>宗地面积</v>
      </c>
      <c r="R40" s="1506" t="s">
        <v>8</v>
      </c>
      <c r="S40" s="1507" t="e">
        <f t="shared" si="10"/>
        <v>#N/A</v>
      </c>
      <c r="T40" s="1506" t="s">
        <v>8</v>
      </c>
      <c r="U40" s="1507" t="e">
        <f t="shared" si="11"/>
        <v>#N/A</v>
      </c>
      <c r="V40" s="1506" t="s">
        <v>8</v>
      </c>
      <c r="W40" s="1507" t="e">
        <f t="shared" si="12"/>
        <v>#N/A</v>
      </c>
      <c r="X40" s="1500"/>
      <c r="Y40" s="3615"/>
      <c r="Z40" s="1508" t="str">
        <f t="shared" si="13"/>
        <v>宗地面积</v>
      </c>
      <c r="AA40" s="1509" t="e">
        <f t="shared" si="3"/>
        <v>#N/A</v>
      </c>
      <c r="AB40" s="1509" t="e">
        <f t="shared" si="4"/>
        <v>#N/A</v>
      </c>
      <c r="AC40" s="1509"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2"/>
      <c r="M41" s="2012"/>
      <c r="N41" s="2012"/>
      <c r="O41" s="2021"/>
      <c r="P41" s="3615"/>
      <c r="Q41" s="1505" t="str">
        <f t="shared" ref="Q41:Q47" si="14">B41</f>
        <v>宗地形状</v>
      </c>
      <c r="R41" s="1506" t="s">
        <v>8</v>
      </c>
      <c r="S41" s="1507">
        <f t="shared" si="10"/>
        <v>100</v>
      </c>
      <c r="T41" s="1506" t="s">
        <v>8</v>
      </c>
      <c r="U41" s="1507">
        <f t="shared" si="11"/>
        <v>100</v>
      </c>
      <c r="V41" s="1506" t="s">
        <v>8</v>
      </c>
      <c r="W41" s="1507">
        <f t="shared" si="12"/>
        <v>100</v>
      </c>
      <c r="X41" s="1500"/>
      <c r="Y41" s="3615"/>
      <c r="Z41" s="1508" t="str">
        <f t="shared" si="13"/>
        <v>宗地形状</v>
      </c>
      <c r="AA41" s="1509">
        <f t="shared" si="3"/>
        <v>1</v>
      </c>
      <c r="AB41" s="1509">
        <f t="shared" si="4"/>
        <v>1</v>
      </c>
      <c r="AC41" s="1509">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2"/>
      <c r="M42" s="2012"/>
      <c r="N42" s="2012"/>
      <c r="O42" s="2021"/>
      <c r="P42" s="3615"/>
      <c r="Q42" s="1505" t="str">
        <f t="shared" si="14"/>
        <v>临街宽度及深度</v>
      </c>
      <c r="R42" s="1506" t="s">
        <v>8</v>
      </c>
      <c r="S42" s="1507">
        <f t="shared" si="10"/>
        <v>100</v>
      </c>
      <c r="T42" s="1506" t="s">
        <v>8</v>
      </c>
      <c r="U42" s="1507">
        <f t="shared" si="11"/>
        <v>100</v>
      </c>
      <c r="V42" s="1506" t="s">
        <v>8</v>
      </c>
      <c r="W42" s="1507">
        <f t="shared" si="12"/>
        <v>100</v>
      </c>
      <c r="X42" s="1500"/>
      <c r="Y42" s="3615"/>
      <c r="Z42" s="1508" t="str">
        <f t="shared" si="13"/>
        <v>临街宽度及深度</v>
      </c>
      <c r="AA42" s="1509">
        <f t="shared" si="3"/>
        <v>1</v>
      </c>
      <c r="AB42" s="1509">
        <f t="shared" si="4"/>
        <v>1</v>
      </c>
      <c r="AC42" s="1509">
        <f t="shared" si="5"/>
        <v>1</v>
      </c>
    </row>
    <row r="43" spans="1:29" s="1201" customFormat="1" ht="20.25">
      <c r="A43" s="592"/>
      <c r="B43" s="1807"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5"/>
      <c r="M43" s="2012"/>
      <c r="N43" s="2012"/>
      <c r="O43" s="2017"/>
      <c r="P43" s="3615"/>
      <c r="Q43" s="1505" t="str">
        <f t="shared" si="14"/>
        <v>宗地开发程度</v>
      </c>
      <c r="R43" s="1501" t="s">
        <v>8</v>
      </c>
      <c r="S43" s="1502">
        <f t="shared" si="10"/>
        <v>100</v>
      </c>
      <c r="T43" s="1501" t="s">
        <v>8</v>
      </c>
      <c r="U43" s="1502">
        <f t="shared" si="11"/>
        <v>100</v>
      </c>
      <c r="V43" s="1501" t="s">
        <v>8</v>
      </c>
      <c r="W43" s="1502">
        <f t="shared" si="12"/>
        <v>100</v>
      </c>
      <c r="X43" s="1503"/>
      <c r="Y43" s="3615"/>
      <c r="Z43" s="1131" t="str">
        <f t="shared" si="13"/>
        <v>宗地开发程度</v>
      </c>
      <c r="AA43" s="1504">
        <f t="shared" si="3"/>
        <v>1</v>
      </c>
      <c r="AB43" s="1504">
        <f t="shared" si="4"/>
        <v>1</v>
      </c>
      <c r="AC43" s="1504">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2"/>
      <c r="M44" s="2012"/>
      <c r="N44" s="2012"/>
      <c r="O44" s="2021"/>
      <c r="P44" s="3615" t="s">
        <v>542</v>
      </c>
      <c r="Q44" s="1505" t="str">
        <f t="shared" si="14"/>
        <v>工程地质条件</v>
      </c>
      <c r="R44" s="1506" t="s">
        <v>8</v>
      </c>
      <c r="S44" s="1507">
        <f t="shared" si="10"/>
        <v>100</v>
      </c>
      <c r="T44" s="1506" t="s">
        <v>8</v>
      </c>
      <c r="U44" s="1507">
        <f t="shared" si="11"/>
        <v>100</v>
      </c>
      <c r="V44" s="1506" t="s">
        <v>8</v>
      </c>
      <c r="W44" s="1507">
        <f t="shared" si="12"/>
        <v>100</v>
      </c>
      <c r="X44" s="1500"/>
      <c r="Y44" s="3615" t="s">
        <v>542</v>
      </c>
      <c r="Z44" s="1508" t="str">
        <f t="shared" si="13"/>
        <v>工程地质条件</v>
      </c>
      <c r="AA44" s="1509">
        <f t="shared" si="3"/>
        <v>1</v>
      </c>
      <c r="AB44" s="1509">
        <f t="shared" si="4"/>
        <v>1</v>
      </c>
      <c r="AC44" s="1509">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2"/>
      <c r="M45" s="2012"/>
      <c r="N45" s="2012"/>
      <c r="O45" s="2021"/>
      <c r="P45" s="3615"/>
      <c r="Q45" s="1505">
        <f t="shared" si="14"/>
        <v>111</v>
      </c>
      <c r="R45" s="1506" t="s">
        <v>8</v>
      </c>
      <c r="S45" s="1507">
        <f t="shared" si="10"/>
        <v>100</v>
      </c>
      <c r="T45" s="1506" t="s">
        <v>8</v>
      </c>
      <c r="U45" s="1507">
        <f t="shared" si="11"/>
        <v>100</v>
      </c>
      <c r="V45" s="1506" t="s">
        <v>8</v>
      </c>
      <c r="W45" s="1507">
        <f t="shared" si="12"/>
        <v>100</v>
      </c>
      <c r="X45" s="1500"/>
      <c r="Y45" s="3615"/>
      <c r="Z45" s="1508">
        <f t="shared" si="13"/>
        <v>111</v>
      </c>
      <c r="AA45" s="1509">
        <f t="shared" si="3"/>
        <v>1</v>
      </c>
      <c r="AB45" s="1509">
        <f t="shared" si="4"/>
        <v>1</v>
      </c>
      <c r="AC45" s="1509">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2"/>
      <c r="M46" s="2012"/>
      <c r="N46" s="2012"/>
      <c r="O46" s="2021"/>
      <c r="P46" s="3615"/>
      <c r="Q46" s="1505">
        <f t="shared" si="14"/>
        <v>111</v>
      </c>
      <c r="R46" s="1506" t="s">
        <v>8</v>
      </c>
      <c r="S46" s="1507">
        <f t="shared" si="10"/>
        <v>100</v>
      </c>
      <c r="T46" s="1506" t="s">
        <v>8</v>
      </c>
      <c r="U46" s="1507">
        <f t="shared" si="11"/>
        <v>100</v>
      </c>
      <c r="V46" s="1506" t="s">
        <v>8</v>
      </c>
      <c r="W46" s="1507">
        <f t="shared" si="12"/>
        <v>100</v>
      </c>
      <c r="X46" s="1500"/>
      <c r="Y46" s="3615"/>
      <c r="Z46" s="1508">
        <f t="shared" si="13"/>
        <v>111</v>
      </c>
      <c r="AA46" s="1509">
        <f t="shared" si="3"/>
        <v>1</v>
      </c>
      <c r="AB46" s="1509">
        <f t="shared" si="4"/>
        <v>1</v>
      </c>
      <c r="AC46" s="1509">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20"/>
      <c r="M47" s="2012"/>
      <c r="N47" s="2012"/>
      <c r="O47" s="2023"/>
      <c r="P47" s="3615"/>
      <c r="Q47" s="1505">
        <f t="shared" si="14"/>
        <v>111</v>
      </c>
      <c r="R47" s="1510" t="s">
        <v>8</v>
      </c>
      <c r="S47" s="1511">
        <f t="shared" si="10"/>
        <v>100</v>
      </c>
      <c r="T47" s="1510" t="s">
        <v>8</v>
      </c>
      <c r="U47" s="1511">
        <f t="shared" si="11"/>
        <v>100</v>
      </c>
      <c r="V47" s="1510" t="s">
        <v>8</v>
      </c>
      <c r="W47" s="1511">
        <f t="shared" si="12"/>
        <v>100</v>
      </c>
      <c r="X47" s="1512"/>
      <c r="Y47" s="3615"/>
      <c r="Z47" s="1513">
        <f t="shared" si="13"/>
        <v>111</v>
      </c>
      <c r="AA47" s="1509">
        <f t="shared" si="3"/>
        <v>1</v>
      </c>
      <c r="AB47" s="1509">
        <f t="shared" si="4"/>
        <v>1</v>
      </c>
      <c r="AC47" s="1509">
        <f t="shared" si="5"/>
        <v>1</v>
      </c>
    </row>
    <row r="48" spans="1:29" ht="20.25">
      <c r="A48" s="599" t="s">
        <v>548</v>
      </c>
      <c r="B48" s="600" t="s">
        <v>2897</v>
      </c>
      <c r="C48" s="601" t="s">
        <v>1</v>
      </c>
      <c r="D48" s="602"/>
      <c r="E48" s="603"/>
      <c r="F48" s="604"/>
      <c r="G48" s="605"/>
      <c r="H48" s="606"/>
      <c r="I48" s="603"/>
      <c r="J48" s="606"/>
      <c r="K48" s="1292"/>
      <c r="L48" s="2024"/>
      <c r="M48" s="2012"/>
      <c r="N48" s="2012"/>
      <c r="O48" s="2025"/>
      <c r="P48" s="3578" t="str">
        <f>A48</f>
        <v>成交单价</v>
      </c>
      <c r="Q48" s="3578"/>
      <c r="R48" s="3579">
        <f>E48</f>
        <v>0</v>
      </c>
      <c r="S48" s="3579"/>
      <c r="T48" s="3579">
        <f>G48</f>
        <v>0</v>
      </c>
      <c r="U48" s="3579"/>
      <c r="V48" s="3579">
        <f>I48</f>
        <v>0</v>
      </c>
      <c r="W48" s="3579"/>
      <c r="X48" s="1495"/>
      <c r="Y48" s="1514"/>
      <c r="Z48" s="1495"/>
      <c r="AA48" s="1495"/>
      <c r="AB48" s="1495"/>
      <c r="AC48" s="1495"/>
    </row>
    <row r="49" spans="1:29" ht="21" thickBot="1">
      <c r="A49" s="607" t="s">
        <v>2671</v>
      </c>
      <c r="B49" s="608"/>
      <c r="C49" s="609" t="e">
        <f>R50</f>
        <v>#DIV/0!</v>
      </c>
      <c r="D49" s="3012" t="s">
        <v>2963</v>
      </c>
      <c r="E49" s="609" t="e">
        <f>R49</f>
        <v>#DIV/0!</v>
      </c>
      <c r="F49" s="3013"/>
      <c r="G49" s="610" t="e">
        <f>T49</f>
        <v>#DIV/0!</v>
      </c>
      <c r="H49" s="3013"/>
      <c r="I49" s="609" t="e">
        <f>V49</f>
        <v>#DIV/0!</v>
      </c>
      <c r="J49" s="3013"/>
      <c r="K49" s="3014">
        <f>F49+H49+J49</f>
        <v>0</v>
      </c>
      <c r="L49" s="2024"/>
      <c r="M49" s="2012"/>
      <c r="N49" s="2012"/>
      <c r="O49" s="2025"/>
      <c r="P49" s="3578" t="str">
        <f>A49</f>
        <v>比较价格（元/平方米）</v>
      </c>
      <c r="Q49" s="3578"/>
      <c r="R49" s="3580" t="e">
        <f>ROUND(PRODUCT(R48,AA9:AA47),0)</f>
        <v>#DIV/0!</v>
      </c>
      <c r="S49" s="3580"/>
      <c r="T49" s="3580" t="e">
        <f>ROUND(PRODUCT(T48,AB9:AB47),0)</f>
        <v>#DIV/0!</v>
      </c>
      <c r="U49" s="3580"/>
      <c r="V49" s="3580" t="e">
        <f>ROUND(PRODUCT(V48,AC9:AC47),0)</f>
        <v>#DIV/0!</v>
      </c>
      <c r="W49" s="3580"/>
      <c r="X49" s="1495"/>
      <c r="Y49" s="1495"/>
      <c r="Z49" s="1495"/>
      <c r="AA49" s="1495"/>
      <c r="AB49" s="1495"/>
      <c r="AC49" s="1495"/>
    </row>
    <row r="50" spans="1:29" ht="21" thickBot="1">
      <c r="A50" s="611" t="s">
        <v>2898</v>
      </c>
      <c r="B50" s="612"/>
      <c r="C50" s="613" t="e">
        <f>R50</f>
        <v>#DIV/0!</v>
      </c>
      <c r="D50" s="613"/>
      <c r="E50" s="613"/>
      <c r="F50" s="613"/>
      <c r="G50" s="613"/>
      <c r="H50" s="613"/>
      <c r="I50" s="613"/>
      <c r="J50" s="613"/>
      <c r="K50" s="1293"/>
      <c r="L50" s="2024"/>
      <c r="M50" s="2012"/>
      <c r="N50" s="2012"/>
      <c r="O50" s="2025"/>
      <c r="P50" s="3575" t="str">
        <f>A50</f>
        <v>估价对象XX用房的比较价格（楼面单价，元/平方米）</v>
      </c>
      <c r="Q50" s="3576"/>
      <c r="R50" s="3577" t="e">
        <f>ROUND(IF(D49="简单平均",AVERAGE(R49:W49),R49*F49+T49*H49+V49*J49),0)</f>
        <v>#DIV/0!</v>
      </c>
      <c r="S50" s="3577"/>
      <c r="T50" s="3577"/>
      <c r="U50" s="3577"/>
      <c r="V50" s="3577"/>
      <c r="W50" s="3577"/>
      <c r="X50" s="1495"/>
      <c r="Y50" s="1495"/>
      <c r="Z50" s="1495"/>
      <c r="AA50" s="1495"/>
      <c r="AB50" s="1495"/>
      <c r="AC50" s="1495"/>
    </row>
    <row r="51" spans="1:29" ht="20.25">
      <c r="A51" s="3210"/>
      <c r="B51" s="3210"/>
      <c r="C51" s="3210"/>
      <c r="D51" s="3210"/>
      <c r="E51" s="3210"/>
      <c r="F51" s="3210"/>
      <c r="G51" s="3212"/>
      <c r="H51" s="3210"/>
      <c r="I51" s="3210"/>
      <c r="J51" s="3210"/>
      <c r="K51" s="3213"/>
      <c r="L51" s="2029"/>
      <c r="M51" s="2012"/>
      <c r="N51" s="2012"/>
      <c r="O51" s="2025"/>
      <c r="P51" s="2025"/>
      <c r="Q51" s="2025"/>
      <c r="R51" s="2025"/>
      <c r="S51" s="2025"/>
      <c r="T51" s="2025"/>
      <c r="U51" s="2025"/>
      <c r="V51" s="2025"/>
      <c r="W51" s="2025"/>
      <c r="X51" s="2025"/>
      <c r="Y51" s="2025"/>
      <c r="Z51" s="2025"/>
      <c r="AA51" s="2025"/>
      <c r="AB51" s="2025"/>
      <c r="AC51" s="2025"/>
    </row>
    <row r="52" spans="1:29" ht="20.25">
      <c r="A52" s="3210"/>
      <c r="B52" s="3210"/>
      <c r="C52" s="3210"/>
      <c r="D52" s="3210"/>
      <c r="E52" s="3210"/>
      <c r="F52" s="3210"/>
      <c r="G52" s="3210"/>
      <c r="H52" s="3210"/>
      <c r="I52" s="3210"/>
      <c r="J52" s="3210"/>
      <c r="K52" s="3213"/>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13"/>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0"/>
      <c r="B54" s="3210"/>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13"/>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1"/>
      <c r="B55" s="3211"/>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14"/>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4"/>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19" t="s">
        <v>552</v>
      </c>
      <c r="B57" s="620" t="s">
        <v>553</v>
      </c>
      <c r="C57" s="1496" t="s">
        <v>1712</v>
      </c>
      <c r="D57" s="2105" t="s">
        <v>2278</v>
      </c>
      <c r="E57" s="621" t="s">
        <v>554</v>
      </c>
      <c r="F57" s="622" t="s">
        <v>555</v>
      </c>
      <c r="G57" s="3604" t="s">
        <v>2266</v>
      </c>
      <c r="H57" s="3605"/>
      <c r="I57" s="1492" t="s">
        <v>1710</v>
      </c>
      <c r="J57" s="1492">
        <f>项目基本情况!F41</f>
        <v>0</v>
      </c>
      <c r="K57" s="2033" t="s">
        <v>1711</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3" t="s">
        <v>556</v>
      </c>
      <c r="B58" s="624" t="e">
        <f>C50</f>
        <v>#DIV/0!</v>
      </c>
      <c r="C58" s="625">
        <v>1</v>
      </c>
      <c r="D58" s="2106">
        <v>1</v>
      </c>
      <c r="E58" s="625">
        <f>'数据-汇总表'!E8+'数据-汇总表'!E9</f>
        <v>30803.628000000001</v>
      </c>
      <c r="F58" s="626" t="e">
        <f t="shared" ref="F58:F67" si="15">ROUND(B58*E58/10000,0)</f>
        <v>#DIV/0!</v>
      </c>
      <c r="G58" s="3606"/>
      <c r="H58" s="3607"/>
      <c r="I58" s="1493">
        <v>1</v>
      </c>
      <c r="J58" s="1493">
        <v>1</v>
      </c>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557</v>
      </c>
      <c r="B59" s="628" t="e">
        <f>ROUND($C$50*C59*D59,0)</f>
        <v>#DIV/0!</v>
      </c>
      <c r="C59" s="370">
        <f t="shared" ref="C59:C67" si="16">IF($C$57="北京市系数",I59,J59)</f>
        <v>0.7</v>
      </c>
      <c r="D59" s="2107">
        <v>0.25</v>
      </c>
      <c r="E59" s="629">
        <v>0</v>
      </c>
      <c r="F59" s="626" t="e">
        <f t="shared" si="15"/>
        <v>#DIV/0!</v>
      </c>
      <c r="G59" s="3608" t="s">
        <v>2267</v>
      </c>
      <c r="H59" s="1860" t="str">
        <f>项目基本情况!B43</f>
        <v>六级</v>
      </c>
      <c r="I59" s="1493">
        <f>SUMIF(修正!$A$45:$A$56,H59,修正!B45:B56)</f>
        <v>0.7</v>
      </c>
      <c r="J59" s="1494"/>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558</v>
      </c>
      <c r="B60" s="628" t="e">
        <f t="shared" ref="B60:B67" si="17">ROUND($C$50*C60*D60,0)</f>
        <v>#DIV/0!</v>
      </c>
      <c r="C60" s="370">
        <f t="shared" si="16"/>
        <v>0.4</v>
      </c>
      <c r="D60" s="2107">
        <v>0.25</v>
      </c>
      <c r="E60" s="629">
        <v>0</v>
      </c>
      <c r="F60" s="626" t="e">
        <f t="shared" si="15"/>
        <v>#DIV/0!</v>
      </c>
      <c r="G60" s="3608"/>
      <c r="H60" s="1860" t="str">
        <f>项目基本情况!B43</f>
        <v>六级</v>
      </c>
      <c r="I60" s="1493">
        <f>SUMIF(修正!$A$45:$A$56,H60,修正!C45:C56)</f>
        <v>0.4</v>
      </c>
      <c r="J60" s="1494"/>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559</v>
      </c>
      <c r="B61" s="628" t="e">
        <f t="shared" si="17"/>
        <v>#DIV/0!</v>
      </c>
      <c r="C61" s="370">
        <f t="shared" si="16"/>
        <v>0.28000000000000003</v>
      </c>
      <c r="D61" s="2107">
        <v>0.25</v>
      </c>
      <c r="E61" s="629">
        <v>0</v>
      </c>
      <c r="F61" s="626" t="e">
        <f t="shared" si="15"/>
        <v>#DIV/0!</v>
      </c>
      <c r="G61" s="3608"/>
      <c r="H61" s="1860" t="str">
        <f>项目基本情况!B43</f>
        <v>六级</v>
      </c>
      <c r="I61" s="1493">
        <f>SUMIF(修正!$A$45:$A$56,H61,修正!D45:D56)</f>
        <v>0.28000000000000003</v>
      </c>
      <c r="J61" s="1494"/>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7" t="s">
        <v>560</v>
      </c>
      <c r="B62" s="628" t="e">
        <f t="shared" si="17"/>
        <v>#DIV/0!</v>
      </c>
      <c r="C62" s="370">
        <f t="shared" si="16"/>
        <v>0.25</v>
      </c>
      <c r="D62" s="2107">
        <v>0.25</v>
      </c>
      <c r="E62" s="629">
        <v>0</v>
      </c>
      <c r="F62" s="626" t="e">
        <f t="shared" si="15"/>
        <v>#DIV/0!</v>
      </c>
      <c r="G62" s="3608"/>
      <c r="H62" s="1860" t="str">
        <f>项目基本情况!B43</f>
        <v>六级</v>
      </c>
      <c r="I62" s="1493">
        <f>SUMIF(修正!$A$45:$A$56,H62,修正!E45:E56)</f>
        <v>0.25</v>
      </c>
      <c r="J62" s="1494"/>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2313</v>
      </c>
      <c r="B63" s="628" t="e">
        <f t="shared" si="17"/>
        <v>#DIV/0!</v>
      </c>
      <c r="C63" s="370">
        <f t="shared" si="16"/>
        <v>0.25</v>
      </c>
      <c r="D63" s="2107">
        <v>0.25</v>
      </c>
      <c r="E63" s="631">
        <f>'数据-汇总表'!E11</f>
        <v>0</v>
      </c>
      <c r="F63" s="626" t="e">
        <f t="shared" si="15"/>
        <v>#DIV/0!</v>
      </c>
      <c r="G63" s="1857" t="s">
        <v>2268</v>
      </c>
      <c r="H63" s="1860" t="str">
        <f>项目基本情况!C43</f>
        <v>六级</v>
      </c>
      <c r="I63" s="1493">
        <f>SUMIF(修正!$A$45:$A$56,H63,修正!F45:F56)</f>
        <v>0.25</v>
      </c>
      <c r="J63" s="1494"/>
      <c r="K63" s="3215"/>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7" t="s">
        <v>561</v>
      </c>
      <c r="B64" s="628" t="e">
        <f t="shared" si="17"/>
        <v>#DIV/0!</v>
      </c>
      <c r="C64" s="370">
        <f t="shared" si="16"/>
        <v>0.25</v>
      </c>
      <c r="D64" s="2107">
        <v>0.25</v>
      </c>
      <c r="E64" s="631">
        <f>'数据-汇总表'!E12</f>
        <v>0</v>
      </c>
      <c r="F64" s="626" t="e">
        <f t="shared" si="15"/>
        <v>#DIV/0!</v>
      </c>
      <c r="G64" s="1858" t="s">
        <v>1665</v>
      </c>
      <c r="H64" s="1856" t="str">
        <f>IF(G64="商业",项目基本情况!B43,IF(G64="办公",项目基本情况!C43,IF(G64="住宅",项目基本情况!D43,项目基本情况!E43)))</f>
        <v>六级</v>
      </c>
      <c r="I64" s="1493">
        <f>SUMIF(修正!$A$45:$A$56,H64,修正!G45:G56)</f>
        <v>0.25</v>
      </c>
      <c r="J64" s="1494"/>
      <c r="K64" s="3215"/>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7" t="s">
        <v>562</v>
      </c>
      <c r="B65" s="628" t="e">
        <f t="shared" si="17"/>
        <v>#DIV/0!</v>
      </c>
      <c r="C65" s="370">
        <f t="shared" si="16"/>
        <v>0.2</v>
      </c>
      <c r="D65" s="2107">
        <v>0.25</v>
      </c>
      <c r="E65" s="631">
        <f>'数据-汇总表'!E13</f>
        <v>0</v>
      </c>
      <c r="F65" s="626" t="e">
        <f t="shared" si="15"/>
        <v>#DIV/0!</v>
      </c>
      <c r="G65" s="1858" t="s">
        <v>912</v>
      </c>
      <c r="H65" s="1856" t="str">
        <f>IF(G65="商业",项目基本情况!B43,IF(G65="办公",项目基本情况!C43,IF(G65="住宅",项目基本情况!D43,项目基本情况!E43)))</f>
        <v>六级</v>
      </c>
      <c r="I65" s="1493">
        <f>SUMIF(修正!$A$45:$A$56,H65,修正!H45:H56)</f>
        <v>0.2</v>
      </c>
      <c r="J65" s="1494"/>
      <c r="K65" s="3215"/>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7" t="s">
        <v>563</v>
      </c>
      <c r="B66" s="628" t="e">
        <f t="shared" si="17"/>
        <v>#DIV/0!</v>
      </c>
      <c r="C66" s="370">
        <f t="shared" si="16"/>
        <v>0.2</v>
      </c>
      <c r="D66" s="2107">
        <v>0.25</v>
      </c>
      <c r="E66" s="631">
        <f>'数据-汇总表'!E14</f>
        <v>0</v>
      </c>
      <c r="F66" s="626" t="e">
        <f t="shared" si="15"/>
        <v>#DIV/0!</v>
      </c>
      <c r="G66" s="1857" t="s">
        <v>2267</v>
      </c>
      <c r="H66" s="1860" t="str">
        <f>项目基本情况!B43</f>
        <v>六级</v>
      </c>
      <c r="I66" s="1493">
        <f>SUMIF(修正!$A$45:$A$56,H66,修正!H45:H56)</f>
        <v>0.2</v>
      </c>
      <c r="J66" s="1494"/>
      <c r="K66" s="3215"/>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7" t="s">
        <v>564</v>
      </c>
      <c r="B67" s="628" t="e">
        <f t="shared" si="17"/>
        <v>#DIV/0!</v>
      </c>
      <c r="C67" s="370">
        <f t="shared" si="16"/>
        <v>0.2</v>
      </c>
      <c r="D67" s="2107">
        <v>0.25</v>
      </c>
      <c r="E67" s="631">
        <f>'数据-汇总表'!E15</f>
        <v>0</v>
      </c>
      <c r="F67" s="626" t="e">
        <f t="shared" si="15"/>
        <v>#DIV/0!</v>
      </c>
      <c r="G67" s="1859" t="s">
        <v>2268</v>
      </c>
      <c r="H67" s="1861" t="str">
        <f>项目基本情况!C43</f>
        <v>六级</v>
      </c>
      <c r="I67" s="1493">
        <f>SUMIF(修正!$A$45:$A$56,H67,修正!H45:H56)</f>
        <v>0.2</v>
      </c>
      <c r="J67" s="1494"/>
      <c r="K67" s="3215"/>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2" t="s">
        <v>565</v>
      </c>
      <c r="B68" s="633" t="s">
        <v>17</v>
      </c>
      <c r="C68" s="633" t="s">
        <v>18</v>
      </c>
      <c r="D68" s="633" t="s">
        <v>2279</v>
      </c>
      <c r="E68" s="633">
        <f>IF(B48="楼面地价",SUM(E58:E67),'数据-汇总表'!D3)</f>
        <v>5500.65</v>
      </c>
      <c r="F68" s="634"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2021-8-1</v>
      </c>
      <c r="D70" s="2514">
        <f>EDATE(C70,-3)</f>
        <v>44317</v>
      </c>
      <c r="E70" s="2514">
        <f t="shared" ref="E70:N70" si="18">EDATE(D70,-3)</f>
        <v>44228</v>
      </c>
      <c r="F70" s="2514">
        <f t="shared" si="18"/>
        <v>44136</v>
      </c>
      <c r="G70" s="2514">
        <f t="shared" si="18"/>
        <v>44044</v>
      </c>
      <c r="H70" s="2514">
        <f t="shared" si="18"/>
        <v>43952</v>
      </c>
      <c r="I70" s="2514">
        <f t="shared" si="18"/>
        <v>43862</v>
      </c>
      <c r="J70" s="2514">
        <f t="shared" si="18"/>
        <v>43770</v>
      </c>
      <c r="K70" s="2514">
        <f t="shared" si="18"/>
        <v>43678</v>
      </c>
      <c r="L70" s="2514">
        <f t="shared" si="18"/>
        <v>43586</v>
      </c>
      <c r="M70" s="2514">
        <f t="shared" si="18"/>
        <v>43497</v>
      </c>
      <c r="N70" s="2514">
        <f t="shared" si="18"/>
        <v>43405</v>
      </c>
      <c r="O70" s="2025"/>
      <c r="P70" s="2025"/>
      <c r="Q70" s="2025"/>
      <c r="R70" s="2025"/>
      <c r="S70" s="2025"/>
      <c r="T70" s="2025"/>
      <c r="U70" s="2025"/>
      <c r="V70" s="2025"/>
      <c r="W70" s="2025"/>
      <c r="X70" s="2025"/>
      <c r="Y70" s="2025"/>
      <c r="Z70" s="2025"/>
      <c r="AA70" s="2025"/>
      <c r="AB70" s="2025"/>
      <c r="AC70" s="2025"/>
    </row>
    <row r="71" spans="1:29" ht="21.75" thickBot="1">
      <c r="A71" s="1517" t="s">
        <v>566</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2511</v>
      </c>
      <c r="B72" s="2420"/>
      <c r="C72" s="2511" t="str">
        <f>YEAR(C70)&amp;"-"&amp;ROUNDUP(MONTH(C70)/3,0)</f>
        <v>2021-3</v>
      </c>
      <c r="D72" s="2516" t="str">
        <f>YEAR(D70)&amp;"-"&amp;ROUNDUP(MONTH(D70)/3,0)</f>
        <v>2021-2</v>
      </c>
      <c r="E72" s="2516" t="str">
        <f t="shared" ref="E72:N72" si="19">YEAR(E70)&amp;"-"&amp;ROUNDUP(MONTH(E70)/3,0)</f>
        <v>2021-1</v>
      </c>
      <c r="F72" s="2516" t="str">
        <f t="shared" si="19"/>
        <v>2020-4</v>
      </c>
      <c r="G72" s="2516" t="str">
        <f t="shared" si="19"/>
        <v>2020-3</v>
      </c>
      <c r="H72" s="2516" t="str">
        <f t="shared" si="19"/>
        <v>2020-2</v>
      </c>
      <c r="I72" s="2516" t="str">
        <f t="shared" si="19"/>
        <v>2020-1</v>
      </c>
      <c r="J72" s="2516" t="str">
        <f t="shared" si="19"/>
        <v>2019-4</v>
      </c>
      <c r="K72" s="2516" t="str">
        <f t="shared" si="19"/>
        <v>2019-3</v>
      </c>
      <c r="L72" s="2516" t="str">
        <f t="shared" si="19"/>
        <v>2019-2</v>
      </c>
      <c r="M72" s="2516" t="str">
        <f t="shared" si="19"/>
        <v>2019-1</v>
      </c>
      <c r="N72" s="2516" t="str">
        <f t="shared" si="19"/>
        <v>2018-4</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2625</v>
      </c>
      <c r="B73" s="471" t="str">
        <f>"北京市平均增长率"&amp;TEXT(SUMIF(基准地价住宅!N21:N25,A73,基准地价住宅!P21:P25),"0.00%")</f>
        <v>北京市平均增长率0.00%</v>
      </c>
      <c r="C73" s="881">
        <v>100</v>
      </c>
      <c r="D73" s="720"/>
      <c r="E73" s="720"/>
      <c r="F73" s="720"/>
      <c r="G73" s="720"/>
      <c r="H73" s="720"/>
      <c r="I73" s="720"/>
      <c r="J73" s="720"/>
      <c r="K73" s="720"/>
      <c r="L73" s="720"/>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2624</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49" t="s">
        <v>523</v>
      </c>
      <c r="B75" s="638"/>
      <c r="C75" s="650" t="s">
        <v>568</v>
      </c>
      <c r="D75" s="651"/>
      <c r="E75" s="651"/>
      <c r="F75" s="651"/>
      <c r="G75" s="651"/>
      <c r="H75" s="651"/>
      <c r="I75" s="651"/>
      <c r="J75" s="651"/>
      <c r="K75" s="651"/>
      <c r="L75" s="652"/>
      <c r="M75" s="653"/>
      <c r="N75" s="2041"/>
      <c r="O75" s="2041"/>
      <c r="P75" s="2042"/>
      <c r="Q75" s="2037"/>
      <c r="R75" s="1903"/>
      <c r="S75" s="1903"/>
      <c r="T75" s="1903"/>
      <c r="U75" s="1903"/>
      <c r="V75" s="1903"/>
      <c r="W75" s="1903"/>
      <c r="X75" s="1903"/>
      <c r="Y75" s="1903"/>
      <c r="Z75" s="1903"/>
      <c r="AA75" s="1903"/>
      <c r="AB75" s="1903"/>
      <c r="AC75" s="1903"/>
    </row>
    <row r="76" spans="1:29" s="1201" customFormat="1" ht="15.75" thickBot="1">
      <c r="A76" s="649"/>
      <c r="B76" s="638"/>
      <c r="C76" s="639">
        <v>100</v>
      </c>
      <c r="D76" s="640"/>
      <c r="E76" s="640"/>
      <c r="F76" s="640"/>
      <c r="G76" s="640"/>
      <c r="H76" s="640"/>
      <c r="I76" s="640"/>
      <c r="J76" s="640"/>
      <c r="K76" s="640"/>
      <c r="L76" s="640"/>
      <c r="M76" s="642"/>
      <c r="N76" s="2041"/>
      <c r="O76" s="2041"/>
      <c r="P76" s="2037"/>
      <c r="Q76" s="2037"/>
      <c r="R76" s="1903"/>
      <c r="S76" s="1903"/>
      <c r="T76" s="1903"/>
      <c r="U76" s="1903"/>
      <c r="V76" s="1903"/>
      <c r="W76" s="1903"/>
      <c r="X76" s="1903"/>
      <c r="Y76" s="1903"/>
      <c r="Z76" s="1903"/>
      <c r="AA76" s="1903"/>
      <c r="AB76" s="1903"/>
      <c r="AC76" s="1903"/>
    </row>
    <row r="77" spans="1:29">
      <c r="A77" s="654" t="s">
        <v>569</v>
      </c>
      <c r="B77" s="655" t="s">
        <v>526</v>
      </c>
      <c r="C77" s="590"/>
      <c r="D77" s="590"/>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0"/>
      <c r="C78" s="661"/>
      <c r="D78" s="661"/>
      <c r="E78" s="661"/>
      <c r="F78" s="661"/>
      <c r="G78" s="661"/>
      <c r="H78" s="661"/>
      <c r="I78" s="661"/>
      <c r="J78" s="661"/>
      <c r="K78" s="661"/>
      <c r="L78" s="661"/>
      <c r="M78" s="662"/>
      <c r="N78" s="2045"/>
      <c r="O78" s="2045"/>
      <c r="P78" s="2044"/>
      <c r="Q78" s="2037"/>
      <c r="R78" s="2025"/>
      <c r="S78" s="2025"/>
      <c r="T78" s="2025"/>
      <c r="U78" s="2025"/>
      <c r="V78" s="2025"/>
      <c r="W78" s="2025"/>
      <c r="X78" s="2025"/>
      <c r="Y78" s="2025"/>
      <c r="Z78" s="2025"/>
      <c r="AA78" s="2025"/>
      <c r="AB78" s="2025"/>
      <c r="AC78" s="2025"/>
    </row>
    <row r="79" spans="1:29" ht="27.75" thickTop="1">
      <c r="A79" s="659"/>
      <c r="B79" s="663" t="s">
        <v>529</v>
      </c>
      <c r="C79" s="664"/>
      <c r="D79" s="664"/>
      <c r="E79" s="664"/>
      <c r="F79" s="664"/>
      <c r="G79" s="664"/>
      <c r="H79" s="664"/>
      <c r="I79" s="664"/>
      <c r="J79" s="664"/>
      <c r="K79" s="665"/>
      <c r="L79" s="666"/>
      <c r="M79" s="667"/>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c r="D80" s="669"/>
      <c r="E80" s="669"/>
      <c r="F80" s="669"/>
      <c r="G80" s="669"/>
      <c r="H80" s="669"/>
      <c r="I80" s="669"/>
      <c r="J80" s="669"/>
      <c r="K80" s="669"/>
      <c r="L80" s="669"/>
      <c r="M80" s="670"/>
      <c r="N80" s="2045"/>
      <c r="O80" s="2045"/>
      <c r="P80" s="2044"/>
      <c r="Q80" s="2037"/>
      <c r="R80" s="2025"/>
      <c r="S80" s="2025"/>
      <c r="T80" s="2025"/>
      <c r="U80" s="2025"/>
      <c r="V80" s="2025"/>
      <c r="W80" s="2025"/>
      <c r="X80" s="2025"/>
      <c r="Y80" s="2025"/>
      <c r="Z80" s="2025"/>
      <c r="AA80" s="2025"/>
      <c r="AB80" s="2025"/>
      <c r="AC80" s="2025"/>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59"/>
      <c r="B82" s="673"/>
      <c r="C82" s="533"/>
      <c r="D82" s="533"/>
      <c r="E82" s="533"/>
      <c r="F82" s="533"/>
      <c r="G82" s="533"/>
      <c r="H82" s="533"/>
      <c r="I82" s="533"/>
      <c r="J82" s="533"/>
      <c r="K82" s="674"/>
      <c r="L82" s="675"/>
      <c r="M82" s="676"/>
      <c r="N82" s="2043"/>
      <c r="O82" s="2043"/>
      <c r="P82" s="2044"/>
      <c r="Q82" s="2037"/>
      <c r="R82" s="2025"/>
      <c r="S82" s="2025"/>
      <c r="T82" s="2025"/>
      <c r="U82" s="2025"/>
      <c r="V82" s="2025"/>
      <c r="W82" s="2025"/>
      <c r="X82" s="2025"/>
      <c r="Y82" s="2025"/>
      <c r="Z82" s="2025"/>
      <c r="AA82" s="2025"/>
      <c r="AB82" s="2025"/>
      <c r="AC82" s="2025"/>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7"/>
      <c r="B84" s="663" t="str">
        <f>B14</f>
        <v>配建</v>
      </c>
      <c r="C84" s="678"/>
      <c r="D84" s="1325"/>
      <c r="E84" s="1326"/>
      <c r="F84" s="678"/>
      <c r="G84" s="678"/>
      <c r="H84" s="679"/>
      <c r="I84" s="679"/>
      <c r="J84" s="679"/>
      <c r="K84" s="679"/>
      <c r="L84" s="680"/>
      <c r="M84" s="681"/>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7"/>
      <c r="B86" s="663">
        <f>B15</f>
        <v>111</v>
      </c>
      <c r="C86" s="678"/>
      <c r="D86" s="678"/>
      <c r="E86" s="678"/>
      <c r="F86" s="678"/>
      <c r="G86" s="678"/>
      <c r="H86" s="679"/>
      <c r="I86" s="679"/>
      <c r="J86" s="679"/>
      <c r="K86" s="679"/>
      <c r="L86" s="680"/>
      <c r="M86" s="681"/>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7"/>
      <c r="B87" s="668"/>
      <c r="C87" s="682"/>
      <c r="D87" s="682"/>
      <c r="E87" s="682"/>
      <c r="F87" s="682"/>
      <c r="G87" s="682"/>
      <c r="H87" s="683"/>
      <c r="I87" s="683"/>
      <c r="J87" s="683"/>
      <c r="K87" s="683"/>
      <c r="L87" s="683"/>
      <c r="M87" s="684"/>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7"/>
      <c r="B88" s="671">
        <f>B16</f>
        <v>111</v>
      </c>
      <c r="C88" s="651"/>
      <c r="D88" s="651"/>
      <c r="E88" s="651"/>
      <c r="F88" s="651"/>
      <c r="G88" s="651"/>
      <c r="H88" s="685"/>
      <c r="I88" s="685"/>
      <c r="J88" s="685"/>
      <c r="K88" s="685"/>
      <c r="L88" s="686"/>
      <c r="M88" s="687"/>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8"/>
      <c r="B89" s="689"/>
      <c r="C89" s="690"/>
      <c r="D89" s="690"/>
      <c r="E89" s="690"/>
      <c r="F89" s="690"/>
      <c r="G89" s="690"/>
      <c r="H89" s="691"/>
      <c r="I89" s="691"/>
      <c r="J89" s="691"/>
      <c r="K89" s="691"/>
      <c r="L89" s="691"/>
      <c r="M89" s="692"/>
      <c r="N89" s="2046"/>
      <c r="O89" s="2046"/>
      <c r="P89" s="2047"/>
      <c r="Q89" s="2048"/>
      <c r="R89" s="2049"/>
      <c r="S89" s="2049"/>
      <c r="T89" s="2049"/>
      <c r="U89" s="2049"/>
      <c r="V89" s="2049"/>
      <c r="W89" s="2049"/>
      <c r="X89" s="2049"/>
      <c r="Y89" s="2049"/>
      <c r="Z89" s="2049"/>
      <c r="AA89" s="2049"/>
      <c r="AB89" s="2049"/>
      <c r="AC89" s="2049"/>
    </row>
    <row r="90" spans="1:29">
      <c r="A90" s="654" t="s">
        <v>531</v>
      </c>
      <c r="B90" s="655" t="s">
        <v>570</v>
      </c>
      <c r="C90" s="693" t="s">
        <v>571</v>
      </c>
      <c r="D90" s="693" t="s">
        <v>572</v>
      </c>
      <c r="E90" s="693" t="s">
        <v>573</v>
      </c>
      <c r="F90" s="693" t="s">
        <v>574</v>
      </c>
      <c r="G90" s="693" t="s">
        <v>575</v>
      </c>
      <c r="H90" s="694"/>
      <c r="I90" s="694"/>
      <c r="J90" s="694"/>
      <c r="K90" s="695"/>
      <c r="L90" s="696"/>
      <c r="M90" s="697"/>
      <c r="N90" s="2043"/>
      <c r="O90" s="2043"/>
      <c r="P90" s="2053"/>
      <c r="Q90" s="2037"/>
      <c r="R90" s="2025"/>
      <c r="S90" s="2025"/>
      <c r="T90" s="2025"/>
      <c r="U90" s="2025"/>
      <c r="V90" s="2025"/>
      <c r="W90" s="2025"/>
      <c r="X90" s="2025"/>
      <c r="Y90" s="2025"/>
      <c r="Z90" s="2025"/>
      <c r="AA90" s="2025"/>
      <c r="AB90" s="2025"/>
      <c r="AC90" s="20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5"/>
      <c r="O91" s="2045"/>
      <c r="P91" s="2044"/>
      <c r="Q91" s="2037"/>
      <c r="R91" s="2025"/>
      <c r="S91" s="2025"/>
      <c r="T91" s="2025"/>
      <c r="U91" s="2025"/>
      <c r="V91" s="2025"/>
      <c r="W91" s="2025"/>
      <c r="X91" s="2025"/>
      <c r="Y91" s="2025"/>
      <c r="Z91" s="2025"/>
      <c r="AA91" s="2025"/>
      <c r="AB91" s="2025"/>
      <c r="AC91" s="2025"/>
    </row>
    <row r="92" spans="1:29" ht="15.75" thickTop="1">
      <c r="A92" s="659"/>
      <c r="B92" s="663" t="s">
        <v>576</v>
      </c>
      <c r="C92" s="698" t="s">
        <v>571</v>
      </c>
      <c r="D92" s="698" t="s">
        <v>572</v>
      </c>
      <c r="E92" s="698" t="s">
        <v>573</v>
      </c>
      <c r="F92" s="698" t="s">
        <v>574</v>
      </c>
      <c r="G92" s="698" t="s">
        <v>575</v>
      </c>
      <c r="H92" s="664"/>
      <c r="I92" s="664"/>
      <c r="J92" s="664"/>
      <c r="K92" s="665"/>
      <c r="L92" s="666"/>
      <c r="M92" s="667"/>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5"/>
      <c r="O93" s="2045"/>
      <c r="P93" s="2044"/>
      <c r="Q93" s="2037"/>
      <c r="R93" s="2025"/>
      <c r="S93" s="2025"/>
      <c r="T93" s="2025"/>
      <c r="U93" s="2025"/>
      <c r="V93" s="2025"/>
      <c r="W93" s="2025"/>
      <c r="X93" s="2025"/>
      <c r="Y93" s="2025"/>
      <c r="Z93" s="2025"/>
      <c r="AA93" s="2025"/>
      <c r="AB93" s="2025"/>
      <c r="AC93" s="2025"/>
    </row>
    <row r="94" spans="1:29" ht="15.75" thickTop="1">
      <c r="A94" s="659"/>
      <c r="B94" s="663" t="s">
        <v>577</v>
      </c>
      <c r="C94" s="698" t="s">
        <v>571</v>
      </c>
      <c r="D94" s="698" t="s">
        <v>572</v>
      </c>
      <c r="E94" s="698" t="s">
        <v>573</v>
      </c>
      <c r="F94" s="698" t="s">
        <v>574</v>
      </c>
      <c r="G94" s="698" t="s">
        <v>575</v>
      </c>
      <c r="H94" s="664"/>
      <c r="I94" s="664"/>
      <c r="J94" s="664"/>
      <c r="K94" s="665"/>
      <c r="L94" s="666"/>
      <c r="M94" s="667"/>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5"/>
      <c r="O95" s="2045"/>
      <c r="P95" s="2044"/>
      <c r="Q95" s="2037"/>
      <c r="R95" s="2025"/>
      <c r="S95" s="2025"/>
      <c r="T95" s="2025"/>
      <c r="U95" s="2025"/>
      <c r="V95" s="2025"/>
      <c r="W95" s="2025"/>
      <c r="X95" s="2025"/>
      <c r="Y95" s="2025"/>
      <c r="Z95" s="2025"/>
      <c r="AA95" s="2025"/>
      <c r="AB95" s="2025"/>
      <c r="AC95" s="2025"/>
    </row>
    <row r="96" spans="1:29" ht="15.75" thickTop="1">
      <c r="A96" s="659"/>
      <c r="B96" s="663" t="s">
        <v>578</v>
      </c>
      <c r="C96" s="698" t="s">
        <v>571</v>
      </c>
      <c r="D96" s="698" t="s">
        <v>572</v>
      </c>
      <c r="E96" s="698" t="s">
        <v>573</v>
      </c>
      <c r="F96" s="698" t="s">
        <v>574</v>
      </c>
      <c r="G96" s="698" t="s">
        <v>575</v>
      </c>
      <c r="H96" s="664"/>
      <c r="I96" s="664"/>
      <c r="J96" s="664"/>
      <c r="K96" s="665"/>
      <c r="L96" s="666"/>
      <c r="M96" s="667"/>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5"/>
      <c r="O97" s="2045"/>
      <c r="P97" s="2044"/>
      <c r="Q97" s="2037"/>
      <c r="R97" s="2025"/>
      <c r="S97" s="2025"/>
      <c r="T97" s="2025"/>
      <c r="U97" s="2025"/>
      <c r="V97" s="2025"/>
      <c r="W97" s="2025"/>
      <c r="X97" s="2025"/>
      <c r="Y97" s="2025"/>
      <c r="Z97" s="2025"/>
      <c r="AA97" s="2025"/>
      <c r="AB97" s="2025"/>
      <c r="AC97" s="2025"/>
    </row>
    <row r="98" spans="1:29" s="1201" customFormat="1" ht="27.75" thickTop="1">
      <c r="A98" s="699"/>
      <c r="B98" s="663" t="s">
        <v>579</v>
      </c>
      <c r="C98" s="698" t="s">
        <v>571</v>
      </c>
      <c r="D98" s="698" t="s">
        <v>572</v>
      </c>
      <c r="E98" s="698" t="s">
        <v>573</v>
      </c>
      <c r="F98" s="698" t="s">
        <v>574</v>
      </c>
      <c r="G98" s="698" t="s">
        <v>575</v>
      </c>
      <c r="H98" s="698"/>
      <c r="I98" s="698"/>
      <c r="J98" s="698"/>
      <c r="K98" s="698"/>
      <c r="L98" s="700"/>
      <c r="M98" s="701"/>
      <c r="N98" s="2041"/>
      <c r="O98" s="2041"/>
      <c r="P98" s="2044"/>
      <c r="Q98" s="2037"/>
      <c r="R98" s="1903"/>
      <c r="S98" s="1903"/>
      <c r="T98" s="1903"/>
      <c r="U98" s="1903"/>
      <c r="V98" s="1903"/>
      <c r="W98" s="1903"/>
      <c r="X98" s="1903"/>
      <c r="Y98" s="1903"/>
      <c r="Z98" s="1903"/>
      <c r="AA98" s="1903"/>
      <c r="AB98" s="1903"/>
      <c r="AC98" s="1903"/>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7"/>
      <c r="B102" s="1808" t="s">
        <v>2527</v>
      </c>
      <c r="C102" s="693" t="s">
        <v>571</v>
      </c>
      <c r="D102" s="693" t="s">
        <v>572</v>
      </c>
      <c r="E102" s="693" t="s">
        <v>573</v>
      </c>
      <c r="F102" s="693" t="s">
        <v>574</v>
      </c>
      <c r="G102" s="693" t="s">
        <v>575</v>
      </c>
      <c r="H102" s="703"/>
      <c r="I102" s="703"/>
      <c r="J102" s="703"/>
      <c r="K102" s="703"/>
      <c r="L102" s="704"/>
      <c r="M102" s="705"/>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7"/>
      <c r="B104" s="2439" t="s">
        <v>2529</v>
      </c>
      <c r="C104" s="2440" t="s">
        <v>2530</v>
      </c>
      <c r="D104" s="2440" t="s">
        <v>2531</v>
      </c>
      <c r="E104" s="2440" t="s">
        <v>2532</v>
      </c>
      <c r="F104" s="2440" t="s">
        <v>2533</v>
      </c>
      <c r="G104" s="2440" t="s">
        <v>2534</v>
      </c>
      <c r="H104" s="703"/>
      <c r="I104" s="703"/>
      <c r="J104" s="703"/>
      <c r="K104" s="703"/>
      <c r="L104" s="703"/>
      <c r="M104" s="705"/>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3"/>
      <c r="O106" s="2043"/>
      <c r="P106" s="2044"/>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59"/>
      <c r="B108" s="663" t="s">
        <v>540</v>
      </c>
      <c r="C108" s="678"/>
      <c r="D108" s="678"/>
      <c r="E108" s="678"/>
      <c r="F108" s="678"/>
      <c r="G108" s="678"/>
      <c r="H108" s="708"/>
      <c r="I108" s="708"/>
      <c r="J108" s="708"/>
      <c r="K108" s="709"/>
      <c r="L108" s="710"/>
      <c r="M108" s="711"/>
      <c r="N108" s="2043"/>
      <c r="O108" s="2043"/>
      <c r="P108" s="2044"/>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59"/>
      <c r="B110" s="663" t="s">
        <v>541</v>
      </c>
      <c r="C110" s="708"/>
      <c r="D110" s="708"/>
      <c r="E110" s="708"/>
      <c r="F110" s="708"/>
      <c r="G110" s="708"/>
      <c r="H110" s="708"/>
      <c r="I110" s="708"/>
      <c r="J110" s="708"/>
      <c r="K110" s="709"/>
      <c r="L110" s="710"/>
      <c r="M110" s="71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59"/>
      <c r="B112" s="671">
        <f>B37</f>
        <v>111</v>
      </c>
      <c r="C112" s="678"/>
      <c r="D112" s="678"/>
      <c r="E112" s="678"/>
      <c r="F112" s="678"/>
      <c r="G112" s="712"/>
      <c r="H112" s="712"/>
      <c r="I112" s="712"/>
      <c r="J112" s="712"/>
      <c r="K112" s="713"/>
      <c r="L112" s="714"/>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659"/>
      <c r="B113" s="689"/>
      <c r="C113" s="682"/>
      <c r="D113" s="682"/>
      <c r="E113" s="682"/>
      <c r="F113" s="682"/>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ht="15" thickTop="1">
      <c r="A114" s="579"/>
      <c r="B114" s="663">
        <f>B38</f>
        <v>111</v>
      </c>
      <c r="C114" s="651"/>
      <c r="D114" s="651"/>
      <c r="E114" s="651"/>
      <c r="F114" s="651"/>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90"/>
      <c r="D115" s="690"/>
      <c r="E115" s="690"/>
      <c r="F115" s="690"/>
      <c r="G115" s="661"/>
      <c r="H115" s="661"/>
      <c r="I115" s="661"/>
      <c r="J115" s="661"/>
      <c r="K115" s="661"/>
      <c r="L115" s="661"/>
      <c r="M115" s="662"/>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8"/>
      <c r="B116" s="719">
        <f>B39</f>
        <v>111</v>
      </c>
      <c r="C116" s="720"/>
      <c r="D116" s="720"/>
      <c r="E116" s="720"/>
      <c r="F116" s="720"/>
      <c r="G116" s="720"/>
      <c r="H116" s="720"/>
      <c r="I116" s="720"/>
      <c r="J116" s="721"/>
      <c r="K116" s="721"/>
      <c r="L116" s="722"/>
      <c r="M116" s="723"/>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7"/>
      <c r="B117" s="671"/>
      <c r="C117" s="640"/>
      <c r="D117" s="584"/>
      <c r="E117" s="584"/>
      <c r="F117" s="584"/>
      <c r="G117" s="584"/>
      <c r="H117" s="584"/>
      <c r="I117" s="584"/>
      <c r="J117" s="584"/>
      <c r="K117" s="584"/>
      <c r="L117" s="584"/>
      <c r="M117" s="724"/>
      <c r="N117" s="2045"/>
      <c r="O117" s="2045"/>
      <c r="P117" s="2047"/>
      <c r="Q117" s="2048"/>
      <c r="R117" s="2049"/>
      <c r="S117" s="2049"/>
      <c r="T117" s="2049"/>
      <c r="U117" s="2049"/>
      <c r="V117" s="2049"/>
      <c r="W117" s="2049"/>
      <c r="X117" s="2049"/>
      <c r="Y117" s="2049"/>
      <c r="Z117" s="2049"/>
      <c r="AA117" s="2049"/>
      <c r="AB117" s="2049"/>
      <c r="AC117" s="2049"/>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8" t="str">
        <f t="shared" si="25"/>
        <v>(含)-</v>
      </c>
      <c r="K118" s="2778" t="str">
        <f t="shared" si="25"/>
        <v>(含)-</v>
      </c>
      <c r="L118" s="2779" t="str">
        <f t="shared" si="25"/>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59"/>
      <c r="B119" s="671"/>
      <c r="C119" s="720"/>
      <c r="D119" s="720"/>
      <c r="E119" s="720"/>
      <c r="F119" s="720"/>
      <c r="G119" s="720"/>
      <c r="H119" s="720"/>
      <c r="I119" s="720"/>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59"/>
      <c r="B120" s="668"/>
      <c r="C120" s="690"/>
      <c r="D120" s="716"/>
      <c r="E120" s="716"/>
      <c r="F120" s="716"/>
      <c r="G120" s="716"/>
      <c r="H120" s="716"/>
      <c r="I120" s="716"/>
      <c r="J120" s="716"/>
      <c r="K120" s="716"/>
      <c r="L120" s="716"/>
      <c r="M120" s="717"/>
      <c r="N120" s="2045"/>
      <c r="O120" s="2045"/>
      <c r="P120" s="2044"/>
      <c r="Q120" s="2037"/>
      <c r="R120" s="2025"/>
      <c r="S120" s="2025"/>
      <c r="T120" s="2025"/>
      <c r="U120" s="2025"/>
      <c r="V120" s="2025"/>
      <c r="W120" s="2025"/>
      <c r="X120" s="2025"/>
      <c r="Y120" s="2025"/>
      <c r="Z120" s="2025"/>
      <c r="AA120" s="2025"/>
      <c r="AB120" s="2025"/>
      <c r="AC120" s="2025"/>
    </row>
    <row r="121" spans="1:29" ht="15" thickTop="1">
      <c r="A121" s="725"/>
      <c r="B121" s="663" t="s">
        <v>586</v>
      </c>
      <c r="C121" s="708"/>
      <c r="D121" s="708"/>
      <c r="E121" s="708"/>
      <c r="F121" s="708"/>
      <c r="G121" s="708"/>
      <c r="H121" s="708"/>
      <c r="I121" s="708"/>
      <c r="J121" s="708"/>
      <c r="K121" s="709"/>
      <c r="L121" s="710"/>
      <c r="M121" s="711"/>
      <c r="N121" s="2043"/>
      <c r="O121" s="2043"/>
      <c r="P121" s="2044"/>
      <c r="Q121" s="2037"/>
      <c r="R121" s="2025"/>
      <c r="S121" s="2025"/>
      <c r="T121" s="2025"/>
      <c r="U121" s="2025"/>
      <c r="V121" s="2025"/>
      <c r="W121" s="2025"/>
      <c r="X121" s="2025"/>
      <c r="Y121" s="2025"/>
      <c r="Z121" s="2025"/>
      <c r="AA121" s="2025"/>
      <c r="AB121" s="2025"/>
      <c r="AC121" s="2025"/>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5"/>
      <c r="B123" s="663" t="s">
        <v>587</v>
      </c>
      <c r="C123" s="678"/>
      <c r="D123" s="678"/>
      <c r="E123" s="678"/>
      <c r="F123" s="708"/>
      <c r="G123" s="708"/>
      <c r="H123" s="708"/>
      <c r="I123" s="708"/>
      <c r="J123" s="708"/>
      <c r="K123" s="709"/>
      <c r="L123" s="710"/>
      <c r="M123" s="711"/>
      <c r="N123" s="2043"/>
      <c r="O123" s="2043"/>
      <c r="P123" s="2044"/>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8"/>
      <c r="B125" s="1808" t="s">
        <v>2407</v>
      </c>
      <c r="C125" s="1325"/>
      <c r="D125" s="1325"/>
      <c r="E125" s="1325"/>
      <c r="F125" s="1325"/>
      <c r="G125" s="1325"/>
      <c r="H125" s="708"/>
      <c r="I125" s="708"/>
      <c r="J125" s="708"/>
      <c r="K125" s="709"/>
      <c r="L125" s="710"/>
      <c r="M125" s="711"/>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5"/>
      <c r="B127" s="663" t="s">
        <v>588</v>
      </c>
      <c r="C127" s="678"/>
      <c r="D127" s="678"/>
      <c r="E127" s="708"/>
      <c r="F127" s="708"/>
      <c r="G127" s="708"/>
      <c r="H127" s="708"/>
      <c r="I127" s="708"/>
      <c r="J127" s="708"/>
      <c r="K127" s="709"/>
      <c r="L127" s="710"/>
      <c r="M127" s="711"/>
      <c r="N127" s="2043"/>
      <c r="O127" s="2043"/>
      <c r="P127" s="2044"/>
      <c r="Q127" s="2037"/>
      <c r="R127" s="2025"/>
      <c r="S127" s="2025"/>
      <c r="T127" s="2025"/>
      <c r="U127" s="2025"/>
      <c r="V127" s="2025"/>
      <c r="W127" s="2025"/>
      <c r="X127" s="2025"/>
      <c r="Y127" s="2025"/>
      <c r="Z127" s="2025"/>
      <c r="AA127" s="2025"/>
      <c r="AB127" s="2025"/>
      <c r="AC127" s="20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5"/>
      <c r="B129" s="663">
        <f>B45</f>
        <v>111</v>
      </c>
      <c r="C129" s="678"/>
      <c r="D129" s="678"/>
      <c r="E129" s="678"/>
      <c r="F129" s="678"/>
      <c r="G129" s="678"/>
      <c r="H129" s="708"/>
      <c r="I129" s="708"/>
      <c r="J129" s="708"/>
      <c r="K129" s="709"/>
      <c r="L129" s="710"/>
      <c r="M129" s="711"/>
      <c r="N129" s="2043"/>
      <c r="O129" s="2043"/>
      <c r="P129" s="2044"/>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44"/>
      <c r="Q130" s="2037"/>
      <c r="R130" s="2025"/>
      <c r="S130" s="2025"/>
      <c r="T130" s="2025"/>
      <c r="U130" s="2025"/>
      <c r="V130" s="2025"/>
      <c r="W130" s="2025"/>
      <c r="X130" s="2025"/>
      <c r="Y130" s="2025"/>
      <c r="Z130" s="2025"/>
      <c r="AA130" s="2025"/>
      <c r="AB130" s="2025"/>
      <c r="AC130" s="2025"/>
    </row>
    <row r="131" spans="1:29" ht="15" thickTop="1">
      <c r="A131" s="725"/>
      <c r="B131" s="663">
        <f>B46</f>
        <v>111</v>
      </c>
      <c r="C131" s="651"/>
      <c r="D131" s="651"/>
      <c r="E131" s="651"/>
      <c r="F131" s="651"/>
      <c r="G131" s="708"/>
      <c r="H131" s="708"/>
      <c r="I131" s="708"/>
      <c r="J131" s="708"/>
      <c r="K131" s="709"/>
      <c r="L131" s="710"/>
      <c r="M131" s="711"/>
      <c r="N131" s="2043"/>
      <c r="O131" s="2043"/>
      <c r="P131" s="2044"/>
      <c r="Q131" s="2037"/>
      <c r="R131" s="2025"/>
      <c r="S131" s="2025"/>
      <c r="T131" s="2025"/>
      <c r="U131" s="2025"/>
      <c r="V131" s="2025"/>
      <c r="W131" s="2025"/>
      <c r="X131" s="2025"/>
      <c r="Y131" s="2025"/>
      <c r="Z131" s="2025"/>
      <c r="AA131" s="2025"/>
      <c r="AB131" s="2025"/>
      <c r="AC131" s="2025"/>
    </row>
    <row r="132" spans="1:29" ht="15.75" thickBot="1">
      <c r="A132" s="659"/>
      <c r="B132" s="668"/>
      <c r="C132" s="690"/>
      <c r="D132" s="690"/>
      <c r="E132" s="690"/>
      <c r="F132" s="690"/>
      <c r="G132" s="661"/>
      <c r="H132" s="661"/>
      <c r="I132" s="661"/>
      <c r="J132" s="661"/>
      <c r="K132" s="661"/>
      <c r="L132" s="661"/>
      <c r="M132" s="662"/>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8"/>
      <c r="B133" s="663">
        <f>B47</f>
        <v>111</v>
      </c>
      <c r="C133" s="651"/>
      <c r="D133" s="651"/>
      <c r="E133" s="651"/>
      <c r="F133" s="651"/>
      <c r="G133" s="679"/>
      <c r="H133" s="679"/>
      <c r="I133" s="679"/>
      <c r="J133" s="679"/>
      <c r="K133" s="679"/>
      <c r="L133" s="680"/>
      <c r="M133" s="681"/>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8"/>
      <c r="B134" s="726"/>
      <c r="C134" s="690"/>
      <c r="D134" s="690"/>
      <c r="E134" s="690"/>
      <c r="F134" s="690"/>
      <c r="G134" s="716"/>
      <c r="H134" s="716"/>
      <c r="I134" s="716"/>
      <c r="J134" s="716"/>
      <c r="K134" s="716"/>
      <c r="L134" s="716"/>
      <c r="M134" s="717"/>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4" priority="18" stopIfTrue="1" operator="containsText" text="超过">
      <formula>NOT(ISERROR(SEARCH("超过",F53)))</formula>
    </cfRule>
  </conditionalFormatting>
  <conditionalFormatting sqref="J55">
    <cfRule type="containsText" dxfId="183" priority="17" stopIfTrue="1" operator="containsText" text="超过">
      <formula>NOT(ISERROR(SEARCH("超过",J55)))</formula>
    </cfRule>
  </conditionalFormatting>
  <conditionalFormatting sqref="H55">
    <cfRule type="containsText" dxfId="182" priority="16" stopIfTrue="1" operator="containsText" text="超过">
      <formula>NOT(ISERROR(SEARCH("超过",H55)))</formula>
    </cfRule>
  </conditionalFormatting>
  <conditionalFormatting sqref="F55">
    <cfRule type="containsText" dxfId="181" priority="15" stopIfTrue="1" operator="containsText" text="超过">
      <formula>NOT(ISERROR(SEARCH("超过",F55)))</formula>
    </cfRule>
  </conditionalFormatting>
  <conditionalFormatting sqref="F54 H54 J54">
    <cfRule type="containsText" dxfId="180" priority="14" stopIfTrue="1" operator="containsText" text="超过">
      <formula>NOT(ISERROR(SEARCH("超过",F54)))</formula>
    </cfRule>
  </conditionalFormatting>
  <conditionalFormatting sqref="E53">
    <cfRule type="expression" dxfId="179" priority="13" stopIfTrue="1">
      <formula>$F$53="超过30%"</formula>
    </cfRule>
  </conditionalFormatting>
  <conditionalFormatting sqref="G55">
    <cfRule type="expression" dxfId="178" priority="12" stopIfTrue="1">
      <formula>$H$55="超过30%"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3">
    <cfRule type="expression" dxfId="175" priority="9" stopIfTrue="1">
      <formula>$H$55+$H$53="超过30%"</formula>
    </cfRule>
  </conditionalFormatting>
  <conditionalFormatting sqref="G54">
    <cfRule type="expression" dxfId="174" priority="8" stopIfTrue="1">
      <formula>$H$54="超过20%"</formula>
    </cfRule>
  </conditionalFormatting>
  <conditionalFormatting sqref="I53">
    <cfRule type="expression" dxfId="173" priority="7" stopIfTrue="1">
      <formula>$J$53="超过30%"</formula>
    </cfRule>
  </conditionalFormatting>
  <conditionalFormatting sqref="I54">
    <cfRule type="expression" dxfId="172" priority="6" stopIfTrue="1">
      <formula>$J$54="超过20%"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9:F47 H9:H47 J9:J47">
    <cfRule type="cellIs" dxfId="16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459</v>
      </c>
      <c r="B2" s="500" t="e">
        <f>F63</f>
        <v>#DIV/0!</v>
      </c>
      <c r="C2" s="3218"/>
      <c r="D2" s="3218"/>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c r="A3" s="1330" t="s">
        <v>1673</v>
      </c>
      <c r="B3" s="502" t="e">
        <f>ROUND(B2*10000/'数据-汇总表'!E3,0)</f>
        <v>#DIV/0!</v>
      </c>
      <c r="C3" s="3217"/>
      <c r="D3" s="3217"/>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3" t="s">
        <v>512</v>
      </c>
      <c r="B4" s="419" t="e">
        <f>IF(B43="单位面积地价",C45,ROUND(B2*10000/'数据-汇总表'!D3,0))</f>
        <v>#DIV/0!</v>
      </c>
      <c r="C4" s="3217"/>
      <c r="D4" s="3217"/>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1"/>
      <c r="B5" s="422" t="e">
        <f>ROUND(B2/('数据-汇总表'!D3/666.67),0)</f>
        <v>#DIV/0!</v>
      </c>
      <c r="C5" s="423" t="s">
        <v>461</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3209"/>
      <c r="AC5" s="1942"/>
    </row>
    <row r="6" spans="1:29" ht="15">
      <c r="A6" s="504" t="s">
        <v>513</v>
      </c>
      <c r="B6" s="505"/>
      <c r="C6" s="3584" t="s">
        <v>514</v>
      </c>
      <c r="D6" s="3585"/>
      <c r="E6" s="3618" t="s">
        <v>515</v>
      </c>
      <c r="F6" s="3619"/>
      <c r="G6" s="3584" t="s">
        <v>516</v>
      </c>
      <c r="H6" s="3585"/>
      <c r="I6" s="3584" t="s">
        <v>517</v>
      </c>
      <c r="J6" s="3585"/>
      <c r="K6" s="506" t="s">
        <v>518</v>
      </c>
      <c r="L6" s="2013"/>
      <c r="M6" s="2014"/>
      <c r="N6" s="2014"/>
      <c r="O6" s="2014"/>
      <c r="P6" s="3586" t="s">
        <v>519</v>
      </c>
      <c r="Q6" s="3587"/>
      <c r="R6" s="3592" t="s">
        <v>515</v>
      </c>
      <c r="S6" s="3593"/>
      <c r="T6" s="3592" t="s">
        <v>516</v>
      </c>
      <c r="U6" s="3593"/>
      <c r="V6" s="3579" t="s">
        <v>517</v>
      </c>
      <c r="W6" s="3579"/>
      <c r="X6" s="1500"/>
      <c r="Y6" s="3592" t="s">
        <v>519</v>
      </c>
      <c r="Z6" s="3593"/>
      <c r="AA6" s="3581" t="s">
        <v>515</v>
      </c>
      <c r="AB6" s="3582" t="s">
        <v>516</v>
      </c>
      <c r="AC6" s="3581" t="s">
        <v>517</v>
      </c>
    </row>
    <row r="7" spans="1:29" ht="15">
      <c r="A7" s="507"/>
      <c r="B7" s="508"/>
      <c r="C7" s="3600" t="s">
        <v>2892</v>
      </c>
      <c r="D7" s="3601"/>
      <c r="E7" s="3620" t="s">
        <v>2893</v>
      </c>
      <c r="F7" s="3621"/>
      <c r="G7" s="3600" t="s">
        <v>2894</v>
      </c>
      <c r="H7" s="3601"/>
      <c r="I7" s="3600" t="s">
        <v>2895</v>
      </c>
      <c r="J7" s="3601"/>
      <c r="K7" s="506"/>
      <c r="L7" s="2013"/>
      <c r="M7" s="2014"/>
      <c r="N7" s="2014"/>
      <c r="O7" s="2014"/>
      <c r="P7" s="3588"/>
      <c r="Q7" s="3589"/>
      <c r="R7" s="3594"/>
      <c r="S7" s="3595"/>
      <c r="T7" s="3594"/>
      <c r="U7" s="3595"/>
      <c r="V7" s="3579"/>
      <c r="W7" s="3579"/>
      <c r="X7" s="1500"/>
      <c r="Y7" s="3594"/>
      <c r="Z7" s="3595"/>
      <c r="AA7" s="3582"/>
      <c r="AB7" s="3582"/>
      <c r="AC7" s="3582"/>
    </row>
    <row r="8" spans="1:29" ht="15.75" thickBot="1">
      <c r="A8" s="509"/>
      <c r="B8" s="510"/>
      <c r="C8" s="3598" t="s">
        <v>2896</v>
      </c>
      <c r="D8" s="3599"/>
      <c r="E8" s="3616" t="s">
        <v>2896</v>
      </c>
      <c r="F8" s="3617"/>
      <c r="G8" s="3598" t="s">
        <v>2896</v>
      </c>
      <c r="H8" s="3599"/>
      <c r="I8" s="3598" t="s">
        <v>2896</v>
      </c>
      <c r="J8" s="3599"/>
      <c r="K8" s="506" t="s">
        <v>520</v>
      </c>
      <c r="L8" s="2013"/>
      <c r="M8" s="2014"/>
      <c r="N8" s="2014"/>
      <c r="O8" s="2014"/>
      <c r="P8" s="3590"/>
      <c r="Q8" s="3591"/>
      <c r="R8" s="3594"/>
      <c r="S8" s="3595"/>
      <c r="T8" s="3596"/>
      <c r="U8" s="3597"/>
      <c r="V8" s="3579"/>
      <c r="W8" s="3579"/>
      <c r="X8" s="1500"/>
      <c r="Y8" s="3596"/>
      <c r="Z8" s="3597"/>
      <c r="AA8" s="3583"/>
      <c r="AB8" s="3583"/>
      <c r="AC8" s="3583"/>
    </row>
    <row r="9" spans="1:29" s="1201" customFormat="1" ht="15.75" thickBot="1">
      <c r="A9" s="2627"/>
      <c r="B9" s="2634" t="s">
        <v>521</v>
      </c>
      <c r="C9" s="511">
        <f>'数据-取费表'!B2</f>
        <v>44424</v>
      </c>
      <c r="D9" s="512">
        <v>100</v>
      </c>
      <c r="E9" s="513"/>
      <c r="F9" s="514">
        <f>SUMIF(67:67,YEAR(E9)&amp;"-"&amp;INT((MONTH(E9)+2)/3),68:68)</f>
        <v>0</v>
      </c>
      <c r="G9" s="515"/>
      <c r="H9" s="512">
        <f>SUMIF(67:67,YEAR(G9)&amp;"-"&amp;INT((MONTH(G9)+2)/3),68:68)</f>
        <v>0</v>
      </c>
      <c r="I9" s="515"/>
      <c r="J9" s="512">
        <f>SUMIF(67:67,YEAR(I9)&amp;"-"&amp;INT((MONTH(I9)+2)/3),68:68)</f>
        <v>0</v>
      </c>
      <c r="K9" s="516"/>
      <c r="L9" s="2015"/>
      <c r="M9" s="2016"/>
      <c r="N9" s="2016"/>
      <c r="O9" s="2016"/>
      <c r="P9" s="3609" t="s">
        <v>522</v>
      </c>
      <c r="Q9" s="3611"/>
      <c r="R9" s="1501" t="s">
        <v>8</v>
      </c>
      <c r="S9" s="1502">
        <f t="shared" ref="S9:S17" si="0">F9</f>
        <v>0</v>
      </c>
      <c r="T9" s="1501" t="s">
        <v>8</v>
      </c>
      <c r="U9" s="1502">
        <f t="shared" ref="U9:U17" si="1">H9</f>
        <v>0</v>
      </c>
      <c r="V9" s="1501" t="s">
        <v>8</v>
      </c>
      <c r="W9" s="1502">
        <f t="shared" ref="W9:W17" si="2">J9</f>
        <v>0</v>
      </c>
      <c r="X9" s="1503"/>
      <c r="Y9" s="3609" t="s">
        <v>522</v>
      </c>
      <c r="Z9" s="3610"/>
      <c r="AA9" s="1504" t="e">
        <f>D9/F9</f>
        <v>#DIV/0!</v>
      </c>
      <c r="AB9" s="1504" t="e">
        <f>D9/H9</f>
        <v>#DIV/0!</v>
      </c>
      <c r="AC9" s="1504" t="e">
        <f>D9/J9</f>
        <v>#DIV/0!</v>
      </c>
    </row>
    <row r="10" spans="1:29" s="1201" customFormat="1" ht="15.75" thickBot="1">
      <c r="A10" s="2628"/>
      <c r="B10" s="2635"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5"/>
      <c r="M10" s="2016"/>
      <c r="N10" s="2016"/>
      <c r="O10" s="2016"/>
      <c r="P10" s="3609" t="s">
        <v>525</v>
      </c>
      <c r="Q10" s="3610"/>
      <c r="R10" s="1501" t="s">
        <v>8</v>
      </c>
      <c r="S10" s="1502">
        <f t="shared" si="0"/>
        <v>0</v>
      </c>
      <c r="T10" s="1501" t="s">
        <v>8</v>
      </c>
      <c r="U10" s="1502">
        <f t="shared" si="1"/>
        <v>0</v>
      </c>
      <c r="V10" s="1501" t="s">
        <v>8</v>
      </c>
      <c r="W10" s="1502">
        <f t="shared" si="2"/>
        <v>0</v>
      </c>
      <c r="X10" s="1503"/>
      <c r="Y10" s="3609" t="s">
        <v>525</v>
      </c>
      <c r="Z10" s="3610"/>
      <c r="AA10" s="1504" t="e">
        <f t="shared" ref="AA10:AA42" si="3">D10/F10</f>
        <v>#DIV/0!</v>
      </c>
      <c r="AB10" s="1504" t="e">
        <f t="shared" ref="AB10:AB42" si="4">D10/H10</f>
        <v>#DIV/0!</v>
      </c>
      <c r="AC10" s="1504" t="e">
        <f t="shared" ref="AC10:AC42" si="5">D10/J10</f>
        <v>#DIV/0!</v>
      </c>
    </row>
    <row r="11" spans="1:29" s="1201" customFormat="1" ht="15">
      <c r="A11" s="2629"/>
      <c r="B11" s="2636" t="s">
        <v>2734</v>
      </c>
      <c r="C11" s="518"/>
      <c r="D11" s="250">
        <v>100</v>
      </c>
      <c r="E11" s="518"/>
      <c r="F11" s="250">
        <f>SUMIF(72:72,E11,73:73)-SUMIF(72:72,C11,73:73)+100</f>
        <v>100</v>
      </c>
      <c r="G11" s="518"/>
      <c r="H11" s="250">
        <f>SUMIF(72:72,G11,73:73)-SUMIF(72:72,C11,73:73)+100</f>
        <v>100</v>
      </c>
      <c r="I11" s="518"/>
      <c r="J11" s="250">
        <f>SUMIF(72:72,I11,73:73)-SUMIF(72:72,C11,73:73)+100</f>
        <v>100</v>
      </c>
      <c r="K11" s="516"/>
      <c r="L11" s="2015"/>
      <c r="M11" s="2016"/>
      <c r="N11" s="2016"/>
      <c r="O11" s="2017"/>
      <c r="P11" s="3578" t="s">
        <v>527</v>
      </c>
      <c r="Q11" s="1132" t="str">
        <f t="shared" ref="Q11:Q17" si="6">B11</f>
        <v>用途</v>
      </c>
      <c r="R11" s="1501" t="s">
        <v>8</v>
      </c>
      <c r="S11" s="1502">
        <f t="shared" si="0"/>
        <v>100</v>
      </c>
      <c r="T11" s="1501" t="s">
        <v>8</v>
      </c>
      <c r="U11" s="1502">
        <f t="shared" si="1"/>
        <v>100</v>
      </c>
      <c r="V11" s="1501" t="s">
        <v>8</v>
      </c>
      <c r="W11" s="1502">
        <f t="shared" si="2"/>
        <v>100</v>
      </c>
      <c r="X11" s="1503"/>
      <c r="Y11" s="3524" t="s">
        <v>528</v>
      </c>
      <c r="Z11" s="1131" t="str">
        <f t="shared" ref="Z11:Z17" si="7">Q11</f>
        <v>用途</v>
      </c>
      <c r="AA11" s="1504">
        <f t="shared" si="3"/>
        <v>1</v>
      </c>
      <c r="AB11" s="1504">
        <f t="shared" si="4"/>
        <v>1</v>
      </c>
      <c r="AC11" s="1504">
        <f t="shared" si="5"/>
        <v>1</v>
      </c>
    </row>
    <row r="12" spans="1:29" s="1290" customFormat="1" ht="27">
      <c r="A12" s="2630"/>
      <c r="B12" s="2635" t="s">
        <v>2735</v>
      </c>
      <c r="C12" s="520"/>
      <c r="D12" s="251">
        <v>100</v>
      </c>
      <c r="E12" s="520"/>
      <c r="F12" s="251" t="e">
        <f>ROUND(100/'数据-取费表'!G16,0)</f>
        <v>#DIV/0!</v>
      </c>
      <c r="G12" s="520"/>
      <c r="H12" s="251" t="e">
        <f>ROUND(100/'数据-取费表'!G16,0)</f>
        <v>#DIV/0!</v>
      </c>
      <c r="I12" s="520"/>
      <c r="J12" s="251" t="e">
        <f>ROUND(100/'数据-取费表'!G16,0)</f>
        <v>#DIV/0!</v>
      </c>
      <c r="K12" s="523"/>
      <c r="L12" s="2018"/>
      <c r="M12" s="2057"/>
      <c r="N12" s="2057"/>
      <c r="O12" s="2019"/>
      <c r="P12" s="3578"/>
      <c r="Q12" s="1132" t="str">
        <f t="shared" si="6"/>
        <v>土地使用年限（年）</v>
      </c>
      <c r="R12" s="1501" t="s">
        <v>8</v>
      </c>
      <c r="S12" s="1502" t="e">
        <f t="shared" si="0"/>
        <v>#DIV/0!</v>
      </c>
      <c r="T12" s="1501" t="s">
        <v>8</v>
      </c>
      <c r="U12" s="1502" t="e">
        <f t="shared" si="1"/>
        <v>#DIV/0!</v>
      </c>
      <c r="V12" s="1501" t="s">
        <v>8</v>
      </c>
      <c r="W12" s="1502" t="e">
        <f t="shared" si="2"/>
        <v>#DIV/0!</v>
      </c>
      <c r="X12" s="1503"/>
      <c r="Y12" s="3524"/>
      <c r="Z12" s="1131" t="str">
        <f t="shared" si="7"/>
        <v>土地使用年限（年）</v>
      </c>
      <c r="AA12" s="1504" t="e">
        <f t="shared" si="3"/>
        <v>#DIV/0!</v>
      </c>
      <c r="AB12" s="1504" t="e">
        <f t="shared" si="4"/>
        <v>#DIV/0!</v>
      </c>
      <c r="AC12" s="1504" t="e">
        <f t="shared" si="5"/>
        <v>#DIV/0!</v>
      </c>
    </row>
    <row r="13" spans="1:29" ht="15">
      <c r="A13" s="2631"/>
      <c r="B13" s="2635"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20"/>
      <c r="M13" s="2014"/>
      <c r="N13" s="2014"/>
      <c r="O13" s="2021"/>
      <c r="P13" s="3578"/>
      <c r="Q13" s="1132" t="str">
        <f t="shared" si="6"/>
        <v>容积率</v>
      </c>
      <c r="R13" s="1501" t="s">
        <v>8</v>
      </c>
      <c r="S13" s="1502" t="e">
        <f t="shared" si="0"/>
        <v>#N/A</v>
      </c>
      <c r="T13" s="1501" t="s">
        <v>8</v>
      </c>
      <c r="U13" s="1502" t="e">
        <f t="shared" si="1"/>
        <v>#N/A</v>
      </c>
      <c r="V13" s="1501" t="s">
        <v>8</v>
      </c>
      <c r="W13" s="1502" t="e">
        <f t="shared" si="2"/>
        <v>#N/A</v>
      </c>
      <c r="X13" s="1503"/>
      <c r="Y13" s="3524"/>
      <c r="Z13" s="1131" t="str">
        <f t="shared" si="7"/>
        <v>容积率</v>
      </c>
      <c r="AA13" s="1504" t="e">
        <f t="shared" si="3"/>
        <v>#N/A</v>
      </c>
      <c r="AB13" s="1504" t="e">
        <f t="shared" si="4"/>
        <v>#N/A</v>
      </c>
      <c r="AC13" s="1504" t="e">
        <f t="shared" si="5"/>
        <v>#N/A</v>
      </c>
    </row>
    <row r="14" spans="1:29" s="1201" customFormat="1" ht="15">
      <c r="A14" s="2632"/>
      <c r="B14" s="2638">
        <v>111</v>
      </c>
      <c r="C14" s="520"/>
      <c r="D14" s="530">
        <v>100</v>
      </c>
      <c r="E14" s="533"/>
      <c r="F14" s="251">
        <f>SUMIF(79:79,E14,80:80)-SUMIF(79:79,C14,80:80)+100</f>
        <v>100</v>
      </c>
      <c r="G14" s="534"/>
      <c r="H14" s="251">
        <f>SUMIF(79:79,G14,80:80)-SUMIF(79:79,C14,80:80)+100</f>
        <v>100</v>
      </c>
      <c r="I14" s="533"/>
      <c r="J14" s="251">
        <f>SUMIF(79:79,I14,80:80)-SUMIF(79:79,C14,80:80)+100</f>
        <v>100</v>
      </c>
      <c r="K14" s="523"/>
      <c r="L14" s="2015"/>
      <c r="M14" s="2016"/>
      <c r="N14" s="2016"/>
      <c r="O14" s="2017"/>
      <c r="P14" s="3578"/>
      <c r="Q14" s="1132">
        <f t="shared" si="6"/>
        <v>111</v>
      </c>
      <c r="R14" s="1501" t="s">
        <v>8</v>
      </c>
      <c r="S14" s="1502">
        <f t="shared" si="0"/>
        <v>100</v>
      </c>
      <c r="T14" s="1501" t="s">
        <v>8</v>
      </c>
      <c r="U14" s="1502">
        <f t="shared" si="1"/>
        <v>100</v>
      </c>
      <c r="V14" s="1501" t="s">
        <v>8</v>
      </c>
      <c r="W14" s="1502">
        <f t="shared" si="2"/>
        <v>100</v>
      </c>
      <c r="X14" s="1503"/>
      <c r="Y14" s="3524"/>
      <c r="Z14" s="1131">
        <f t="shared" si="7"/>
        <v>111</v>
      </c>
      <c r="AA14" s="1504">
        <f>D14/F14</f>
        <v>1</v>
      </c>
      <c r="AB14" s="1504">
        <f>D14/H14</f>
        <v>1</v>
      </c>
      <c r="AC14" s="1504">
        <f>D14/J14</f>
        <v>1</v>
      </c>
    </row>
    <row r="15" spans="1:29" ht="15">
      <c r="A15" s="2632"/>
      <c r="B15" s="2638">
        <v>111</v>
      </c>
      <c r="C15" s="531"/>
      <c r="D15" s="532">
        <v>100</v>
      </c>
      <c r="E15" s="533"/>
      <c r="F15" s="251">
        <f>SUMIF(81:81,E15,82:82)-SUMIF(81:81,C15,82:82)+100</f>
        <v>100</v>
      </c>
      <c r="G15" s="534"/>
      <c r="H15" s="532">
        <f>SUMIF(81:81,G15,82:82)-SUMIF(81:81,C15,82:82)+100</f>
        <v>100</v>
      </c>
      <c r="I15" s="533"/>
      <c r="J15" s="532">
        <f>SUMIF(81:81,I15,82:82)-SUMIF(81:81,C15,82:82)+100</f>
        <v>100</v>
      </c>
      <c r="K15" s="523"/>
      <c r="L15" s="2022"/>
      <c r="M15" s="2014"/>
      <c r="N15" s="2014"/>
      <c r="O15" s="2021"/>
      <c r="P15" s="3578"/>
      <c r="Q15" s="1132">
        <f t="shared" si="6"/>
        <v>111</v>
      </c>
      <c r="R15" s="1501" t="s">
        <v>8</v>
      </c>
      <c r="S15" s="1502">
        <f t="shared" si="0"/>
        <v>100</v>
      </c>
      <c r="T15" s="1501" t="s">
        <v>8</v>
      </c>
      <c r="U15" s="1502">
        <f t="shared" si="1"/>
        <v>100</v>
      </c>
      <c r="V15" s="1501" t="s">
        <v>8</v>
      </c>
      <c r="W15" s="1502">
        <f t="shared" si="2"/>
        <v>100</v>
      </c>
      <c r="X15" s="1503"/>
      <c r="Y15" s="3524"/>
      <c r="Z15" s="1131">
        <f t="shared" si="7"/>
        <v>111</v>
      </c>
      <c r="AA15" s="1504">
        <f t="shared" si="3"/>
        <v>1</v>
      </c>
      <c r="AB15" s="1504">
        <f t="shared" si="4"/>
        <v>1</v>
      </c>
      <c r="AC15" s="1504">
        <f t="shared" si="5"/>
        <v>1</v>
      </c>
    </row>
    <row r="16" spans="1:29" ht="15.75" thickBot="1">
      <c r="A16" s="2633"/>
      <c r="B16" s="2639">
        <v>111</v>
      </c>
      <c r="C16" s="537"/>
      <c r="D16" s="538">
        <v>100</v>
      </c>
      <c r="E16" s="533"/>
      <c r="F16" s="538">
        <f>SUMIF(83:83,E16,84:84)-SUMIF(83:83,C16,84:84)+100</f>
        <v>100</v>
      </c>
      <c r="G16" s="534"/>
      <c r="H16" s="538">
        <f>SUMIF(83:83,G16,84:84)-SUMIF(83:83,C16,84:84)+100</f>
        <v>100</v>
      </c>
      <c r="I16" s="533"/>
      <c r="J16" s="538">
        <f>SUMIF(83:83,I16,84:84)-SUMIF(83:83,C16,84:84)+100</f>
        <v>100</v>
      </c>
      <c r="K16" s="523"/>
      <c r="L16" s="2022"/>
      <c r="M16" s="2014"/>
      <c r="N16" s="2014"/>
      <c r="O16" s="2021"/>
      <c r="P16" s="3578"/>
      <c r="Q16" s="1132">
        <f t="shared" si="6"/>
        <v>111</v>
      </c>
      <c r="R16" s="1501" t="s">
        <v>8</v>
      </c>
      <c r="S16" s="1502">
        <f t="shared" si="0"/>
        <v>100</v>
      </c>
      <c r="T16" s="1501" t="s">
        <v>8</v>
      </c>
      <c r="U16" s="1502">
        <f t="shared" si="1"/>
        <v>100</v>
      </c>
      <c r="V16" s="1501" t="s">
        <v>8</v>
      </c>
      <c r="W16" s="1502">
        <f t="shared" si="2"/>
        <v>100</v>
      </c>
      <c r="X16" s="1503"/>
      <c r="Y16" s="3524"/>
      <c r="Z16" s="1131">
        <f t="shared" si="7"/>
        <v>111</v>
      </c>
      <c r="AA16" s="1504">
        <f t="shared" si="3"/>
        <v>1</v>
      </c>
      <c r="AB16" s="1504">
        <f t="shared" si="4"/>
        <v>1</v>
      </c>
      <c r="AC16" s="1504">
        <f t="shared" si="5"/>
        <v>1</v>
      </c>
    </row>
    <row r="17" spans="1:29" ht="57">
      <c r="A17" s="2625"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2"/>
      <c r="M17" s="2014"/>
      <c r="N17" s="2014"/>
      <c r="O17" s="2021"/>
      <c r="P17" s="3612" t="s">
        <v>532</v>
      </c>
      <c r="Q17" s="1505" t="str">
        <f t="shared" si="6"/>
        <v>产业集聚程度</v>
      </c>
      <c r="R17" s="1506" t="s">
        <v>8</v>
      </c>
      <c r="S17" s="1507">
        <f t="shared" si="0"/>
        <v>100</v>
      </c>
      <c r="T17" s="1506" t="s">
        <v>8</v>
      </c>
      <c r="U17" s="1507">
        <f t="shared" si="1"/>
        <v>100</v>
      </c>
      <c r="V17" s="1506" t="s">
        <v>8</v>
      </c>
      <c r="W17" s="1507">
        <f t="shared" si="2"/>
        <v>100</v>
      </c>
      <c r="X17" s="1500"/>
      <c r="Y17" s="3612" t="s">
        <v>532</v>
      </c>
      <c r="Z17" s="1508" t="str">
        <f t="shared" si="7"/>
        <v>产业集聚程度</v>
      </c>
      <c r="AA17" s="1509">
        <f t="shared" si="3"/>
        <v>1</v>
      </c>
      <c r="AB17" s="1509">
        <f t="shared" si="4"/>
        <v>1</v>
      </c>
      <c r="AC17" s="1509">
        <f t="shared" si="5"/>
        <v>1</v>
      </c>
    </row>
    <row r="18" spans="1:29" ht="15">
      <c r="A18" s="524"/>
      <c r="B18" s="856"/>
      <c r="C18" s="568"/>
      <c r="D18" s="547"/>
      <c r="E18" s="546"/>
      <c r="F18" s="547"/>
      <c r="G18" s="546"/>
      <c r="H18" s="551"/>
      <c r="I18" s="546"/>
      <c r="J18" s="547"/>
      <c r="K18" s="523"/>
      <c r="L18" s="2022"/>
      <c r="M18" s="2014"/>
      <c r="N18" s="2014"/>
      <c r="O18" s="2021"/>
      <c r="P18" s="3613"/>
      <c r="Q18" s="1505"/>
      <c r="R18" s="1506"/>
      <c r="S18" s="1507"/>
      <c r="T18" s="1506"/>
      <c r="U18" s="1507"/>
      <c r="V18" s="1506"/>
      <c r="W18" s="1507"/>
      <c r="X18" s="1500"/>
      <c r="Y18" s="3613"/>
      <c r="Z18" s="1508"/>
      <c r="AA18" s="1509">
        <v>1</v>
      </c>
      <c r="AB18" s="1509">
        <v>1</v>
      </c>
      <c r="AC18" s="1509">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2"/>
      <c r="M19" s="2014"/>
      <c r="N19" s="2014"/>
      <c r="O19" s="2021"/>
      <c r="P19" s="3613"/>
      <c r="Q19" s="1505" t="str">
        <f>B19</f>
        <v>交通便捷度</v>
      </c>
      <c r="R19" s="1506" t="s">
        <v>8</v>
      </c>
      <c r="S19" s="1507">
        <f>F19</f>
        <v>100</v>
      </c>
      <c r="T19" s="1506" t="s">
        <v>8</v>
      </c>
      <c r="U19" s="1507">
        <f>H19</f>
        <v>100</v>
      </c>
      <c r="V19" s="1506" t="s">
        <v>8</v>
      </c>
      <c r="W19" s="1507">
        <f>J19</f>
        <v>100</v>
      </c>
      <c r="X19" s="1500"/>
      <c r="Y19" s="3613"/>
      <c r="Z19" s="1508" t="str">
        <f>Q19</f>
        <v>交通便捷度</v>
      </c>
      <c r="AA19" s="1509">
        <f t="shared" si="3"/>
        <v>1</v>
      </c>
      <c r="AB19" s="1509">
        <f t="shared" si="4"/>
        <v>1</v>
      </c>
      <c r="AC19" s="1509">
        <f t="shared" si="5"/>
        <v>1</v>
      </c>
    </row>
    <row r="20" spans="1:29" ht="15">
      <c r="A20" s="524"/>
      <c r="B20" s="909"/>
      <c r="C20" s="568"/>
      <c r="D20" s="547"/>
      <c r="E20" s="548"/>
      <c r="F20" s="547"/>
      <c r="G20" s="548"/>
      <c r="H20" s="547"/>
      <c r="I20" s="550"/>
      <c r="J20" s="547"/>
      <c r="K20" s="523"/>
      <c r="L20" s="2022"/>
      <c r="M20" s="2014"/>
      <c r="N20" s="2014"/>
      <c r="O20" s="2021"/>
      <c r="P20" s="3613"/>
      <c r="Q20" s="1505"/>
      <c r="R20" s="1506"/>
      <c r="S20" s="1507"/>
      <c r="T20" s="1506"/>
      <c r="U20" s="1507"/>
      <c r="V20" s="1506"/>
      <c r="W20" s="1507"/>
      <c r="X20" s="1500"/>
      <c r="Y20" s="3613"/>
      <c r="Z20" s="1508"/>
      <c r="AA20" s="1509">
        <v>1</v>
      </c>
      <c r="AB20" s="1509">
        <v>1</v>
      </c>
      <c r="AC20" s="1509">
        <v>1</v>
      </c>
    </row>
    <row r="21" spans="1:29" ht="27">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2"/>
      <c r="M21" s="2014"/>
      <c r="N21" s="2014"/>
      <c r="O21" s="2021"/>
      <c r="P21" s="3613"/>
      <c r="Q21" s="1505" t="str">
        <f t="shared" ref="Q21:Q35" si="8">B21</f>
        <v>区域土地利用方向</v>
      </c>
      <c r="R21" s="1506" t="s">
        <v>8</v>
      </c>
      <c r="S21" s="1507">
        <f>F21</f>
        <v>100</v>
      </c>
      <c r="T21" s="1506" t="s">
        <v>8</v>
      </c>
      <c r="U21" s="1507">
        <f>H21</f>
        <v>100</v>
      </c>
      <c r="V21" s="1506" t="s">
        <v>8</v>
      </c>
      <c r="W21" s="1507">
        <f>J21</f>
        <v>100</v>
      </c>
      <c r="X21" s="1500"/>
      <c r="Y21" s="3613"/>
      <c r="Z21" s="1508" t="str">
        <f>Q21</f>
        <v>区域土地利用方向</v>
      </c>
      <c r="AA21" s="1509">
        <f t="shared" si="3"/>
        <v>1</v>
      </c>
      <c r="AB21" s="1509">
        <f t="shared" si="4"/>
        <v>1</v>
      </c>
      <c r="AC21" s="1509">
        <f t="shared" si="5"/>
        <v>1</v>
      </c>
    </row>
    <row r="22" spans="1:29" ht="15">
      <c r="A22" s="507"/>
      <c r="B22" s="587"/>
      <c r="C22" s="568"/>
      <c r="D22" s="547"/>
      <c r="E22" s="548"/>
      <c r="F22" s="549"/>
      <c r="G22" s="550"/>
      <c r="H22" s="549"/>
      <c r="I22" s="550"/>
      <c r="J22" s="549"/>
      <c r="K22" s="1299"/>
      <c r="L22" s="2022"/>
      <c r="M22" s="2014"/>
      <c r="N22" s="2014"/>
      <c r="O22" s="2021"/>
      <c r="P22" s="3613"/>
      <c r="Q22" s="1505"/>
      <c r="R22" s="1506"/>
      <c r="S22" s="1507"/>
      <c r="T22" s="1506"/>
      <c r="U22" s="1507"/>
      <c r="V22" s="1506"/>
      <c r="W22" s="1507"/>
      <c r="X22" s="1500"/>
      <c r="Y22" s="3613"/>
      <c r="Z22" s="1508"/>
      <c r="AA22" s="1509"/>
      <c r="AB22" s="1509"/>
      <c r="AC22" s="1509"/>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2"/>
      <c r="M23" s="2014"/>
      <c r="N23" s="2014"/>
      <c r="O23" s="2021"/>
      <c r="P23" s="3613"/>
      <c r="Q23" s="1505" t="str">
        <f t="shared" si="8"/>
        <v>环境状况</v>
      </c>
      <c r="R23" s="1506" t="s">
        <v>8</v>
      </c>
      <c r="S23" s="1507">
        <f>F23</f>
        <v>100</v>
      </c>
      <c r="T23" s="1506" t="s">
        <v>8</v>
      </c>
      <c r="U23" s="1507">
        <f>H23</f>
        <v>100</v>
      </c>
      <c r="V23" s="1506" t="s">
        <v>8</v>
      </c>
      <c r="W23" s="1507">
        <f>J23</f>
        <v>100</v>
      </c>
      <c r="X23" s="1500"/>
      <c r="Y23" s="3613"/>
      <c r="Z23" s="1508" t="str">
        <f>Q23</f>
        <v>环境状况</v>
      </c>
      <c r="AA23" s="1509">
        <f t="shared" si="3"/>
        <v>1</v>
      </c>
      <c r="AB23" s="1509">
        <f t="shared" si="4"/>
        <v>1</v>
      </c>
      <c r="AC23" s="1509">
        <f t="shared" si="5"/>
        <v>1</v>
      </c>
    </row>
    <row r="24" spans="1:29" ht="15">
      <c r="A24" s="507"/>
      <c r="B24" s="587"/>
      <c r="C24" s="568"/>
      <c r="D24" s="547"/>
      <c r="E24" s="546"/>
      <c r="F24" s="547"/>
      <c r="G24" s="546"/>
      <c r="H24" s="547"/>
      <c r="I24" s="568"/>
      <c r="J24" s="547"/>
      <c r="K24" s="523"/>
      <c r="L24" s="2022"/>
      <c r="M24" s="2014"/>
      <c r="N24" s="2014"/>
      <c r="O24" s="2021"/>
      <c r="P24" s="3613"/>
      <c r="Q24" s="1505"/>
      <c r="R24" s="1506"/>
      <c r="S24" s="1507"/>
      <c r="T24" s="1506"/>
      <c r="U24" s="1507"/>
      <c r="V24" s="1506"/>
      <c r="W24" s="1507"/>
      <c r="X24" s="1500"/>
      <c r="Y24" s="3613"/>
      <c r="Z24" s="1508"/>
      <c r="AA24" s="1509">
        <v>1</v>
      </c>
      <c r="AB24" s="1509">
        <v>1</v>
      </c>
      <c r="AC24" s="1509">
        <v>1</v>
      </c>
    </row>
    <row r="25" spans="1:29" s="1201" customFormat="1" ht="42.75">
      <c r="A25" s="569"/>
      <c r="B25" s="2435"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5"/>
      <c r="M25" s="2016"/>
      <c r="N25" s="2016"/>
      <c r="O25" s="2017"/>
      <c r="P25" s="3613"/>
      <c r="Q25" s="1132" t="str">
        <f t="shared" si="8"/>
        <v>公共配套设施</v>
      </c>
      <c r="R25" s="1501" t="s">
        <v>8</v>
      </c>
      <c r="S25" s="1502">
        <f>F25</f>
        <v>100</v>
      </c>
      <c r="T25" s="1501" t="s">
        <v>8</v>
      </c>
      <c r="U25" s="1502">
        <f>H25</f>
        <v>100</v>
      </c>
      <c r="V25" s="1501" t="s">
        <v>8</v>
      </c>
      <c r="W25" s="1502">
        <f>J25</f>
        <v>100</v>
      </c>
      <c r="X25" s="1503"/>
      <c r="Y25" s="3613"/>
      <c r="Z25" s="1131" t="str">
        <f>Q25</f>
        <v>公共配套设施</v>
      </c>
      <c r="AA25" s="1509">
        <f>D25/F25</f>
        <v>1</v>
      </c>
      <c r="AB25" s="1509">
        <f>D25/H25</f>
        <v>1</v>
      </c>
      <c r="AC25" s="1509">
        <f>D25/J25</f>
        <v>1</v>
      </c>
    </row>
    <row r="26" spans="1:29" s="1201" customFormat="1" ht="15">
      <c r="A26" s="569"/>
      <c r="B26" s="587"/>
      <c r="C26" s="2434"/>
      <c r="D26" s="547"/>
      <c r="E26" s="546"/>
      <c r="F26" s="547"/>
      <c r="G26" s="546"/>
      <c r="H26" s="547"/>
      <c r="I26" s="568"/>
      <c r="J26" s="547"/>
      <c r="K26" s="523"/>
      <c r="L26" s="2015"/>
      <c r="M26" s="2016"/>
      <c r="N26" s="2016"/>
      <c r="O26" s="2017"/>
      <c r="P26" s="3613"/>
      <c r="Q26" s="1132"/>
      <c r="R26" s="1501"/>
      <c r="S26" s="1502"/>
      <c r="T26" s="1501"/>
      <c r="U26" s="1502"/>
      <c r="V26" s="1501"/>
      <c r="W26" s="1502"/>
      <c r="X26" s="1503"/>
      <c r="Y26" s="3613"/>
      <c r="Z26" s="1131"/>
      <c r="AA26" s="1504">
        <v>1</v>
      </c>
      <c r="AB26" s="1504">
        <v>1</v>
      </c>
      <c r="AC26" s="1504">
        <v>1</v>
      </c>
    </row>
    <row r="27" spans="1:29" s="1201" customFormat="1" ht="28.5">
      <c r="A27" s="569"/>
      <c r="B27" s="2435"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5"/>
      <c r="M27" s="2016"/>
      <c r="N27" s="2016"/>
      <c r="O27" s="2017"/>
      <c r="P27" s="3613"/>
      <c r="Q27" s="2426" t="str">
        <f t="shared" ref="Q27" si="9">B27</f>
        <v>基础设施水平</v>
      </c>
      <c r="R27" s="1501" t="s">
        <v>8</v>
      </c>
      <c r="S27" s="1502">
        <f>F27</f>
        <v>100</v>
      </c>
      <c r="T27" s="1501" t="s">
        <v>8</v>
      </c>
      <c r="U27" s="1502">
        <f>H27</f>
        <v>100</v>
      </c>
      <c r="V27" s="1501" t="s">
        <v>8</v>
      </c>
      <c r="W27" s="1502">
        <f>J27</f>
        <v>100</v>
      </c>
      <c r="X27" s="1503"/>
      <c r="Y27" s="3613"/>
      <c r="Z27" s="2425" t="str">
        <f>Q27</f>
        <v>基础设施水平</v>
      </c>
      <c r="AA27" s="1509">
        <f>D27/F27</f>
        <v>1</v>
      </c>
      <c r="AB27" s="1509">
        <f>D27/H27</f>
        <v>1</v>
      </c>
      <c r="AC27" s="1509">
        <f>D27/J27</f>
        <v>1</v>
      </c>
    </row>
    <row r="28" spans="1:29" s="1201" customFormat="1" ht="15">
      <c r="A28" s="569"/>
      <c r="B28" s="587"/>
      <c r="C28" s="2434"/>
      <c r="D28" s="547"/>
      <c r="E28" s="571"/>
      <c r="F28" s="547"/>
      <c r="G28" s="571"/>
      <c r="H28" s="547"/>
      <c r="I28" s="571"/>
      <c r="J28" s="547"/>
      <c r="K28" s="523"/>
      <c r="L28" s="2015"/>
      <c r="M28" s="2016"/>
      <c r="N28" s="2016"/>
      <c r="O28" s="2017"/>
      <c r="P28" s="3613"/>
      <c r="Q28" s="2426"/>
      <c r="R28" s="1501"/>
      <c r="S28" s="1502"/>
      <c r="T28" s="1501"/>
      <c r="U28" s="1502"/>
      <c r="V28" s="1501"/>
      <c r="W28" s="1502"/>
      <c r="X28" s="1503"/>
      <c r="Y28" s="3613"/>
      <c r="Z28" s="2425"/>
      <c r="AA28" s="1504">
        <v>1</v>
      </c>
      <c r="AB28" s="1504">
        <v>1</v>
      </c>
      <c r="AC28" s="1504">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2"/>
      <c r="M29" s="2014"/>
      <c r="N29" s="2014"/>
      <c r="O29" s="2021"/>
      <c r="P29" s="3613"/>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613"/>
      <c r="Z29" s="1508" t="str">
        <f t="shared" ref="Z29:Z42" si="13">Q29</f>
        <v>临街状况</v>
      </c>
      <c r="AA29" s="1509">
        <f t="shared" si="3"/>
        <v>1</v>
      </c>
      <c r="AB29" s="1509">
        <f t="shared" si="4"/>
        <v>1</v>
      </c>
      <c r="AC29" s="1509">
        <f t="shared" si="5"/>
        <v>1</v>
      </c>
    </row>
    <row r="30" spans="1:29" ht="27">
      <c r="A30" s="524"/>
      <c r="B30" s="909" t="s">
        <v>540</v>
      </c>
      <c r="C30" s="2437">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2"/>
      <c r="M30" s="2014"/>
      <c r="N30" s="2014"/>
      <c r="O30" s="2021"/>
      <c r="P30" s="3613"/>
      <c r="Q30" s="1505" t="str">
        <f t="shared" si="8"/>
        <v>毗邻道路的类型与等级</v>
      </c>
      <c r="R30" s="1506" t="s">
        <v>8</v>
      </c>
      <c r="S30" s="1507">
        <f t="shared" si="10"/>
        <v>100</v>
      </c>
      <c r="T30" s="1506" t="s">
        <v>8</v>
      </c>
      <c r="U30" s="1507">
        <f t="shared" si="11"/>
        <v>100</v>
      </c>
      <c r="V30" s="1506" t="s">
        <v>8</v>
      </c>
      <c r="W30" s="1507">
        <f t="shared" si="12"/>
        <v>100</v>
      </c>
      <c r="X30" s="1500"/>
      <c r="Y30" s="3613"/>
      <c r="Z30" s="1508" t="str">
        <f t="shared" si="13"/>
        <v>毗邻道路的类型与等级</v>
      </c>
      <c r="AA30" s="1509">
        <f t="shared" si="3"/>
        <v>1</v>
      </c>
      <c r="AB30" s="1509">
        <f t="shared" si="4"/>
        <v>1</v>
      </c>
      <c r="AC30" s="1509">
        <f t="shared" si="5"/>
        <v>1</v>
      </c>
    </row>
    <row r="31" spans="1:29" ht="15">
      <c r="A31" s="524"/>
      <c r="B31" s="587"/>
      <c r="C31" s="568"/>
      <c r="D31" s="547"/>
      <c r="E31" s="568"/>
      <c r="F31" s="547"/>
      <c r="G31" s="568"/>
      <c r="H31" s="547"/>
      <c r="I31" s="568"/>
      <c r="J31" s="547"/>
      <c r="K31" s="573"/>
      <c r="L31" s="2022"/>
      <c r="M31" s="2014"/>
      <c r="N31" s="2014"/>
      <c r="O31" s="2021"/>
      <c r="P31" s="3613"/>
      <c r="Q31" s="1505"/>
      <c r="R31" s="1506"/>
      <c r="S31" s="1507"/>
      <c r="T31" s="1506"/>
      <c r="U31" s="1507"/>
      <c r="V31" s="1506"/>
      <c r="W31" s="1507"/>
      <c r="X31" s="1500"/>
      <c r="Y31" s="3613"/>
      <c r="Z31" s="1508"/>
      <c r="AA31" s="1509">
        <v>1</v>
      </c>
      <c r="AB31" s="1509">
        <v>1</v>
      </c>
      <c r="AC31" s="1509">
        <v>1</v>
      </c>
    </row>
    <row r="32" spans="1:29" ht="15">
      <c r="A32" s="524"/>
      <c r="B32" s="519" t="s">
        <v>541</v>
      </c>
      <c r="C32" s="2438">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2"/>
      <c r="M32" s="2014"/>
      <c r="N32" s="2014"/>
      <c r="O32" s="2021"/>
      <c r="P32" s="3613"/>
      <c r="Q32" s="1505" t="str">
        <f t="shared" si="8"/>
        <v>土地级别</v>
      </c>
      <c r="R32" s="1506" t="s">
        <v>8</v>
      </c>
      <c r="S32" s="1507">
        <f t="shared" si="10"/>
        <v>100</v>
      </c>
      <c r="T32" s="1506" t="s">
        <v>8</v>
      </c>
      <c r="U32" s="1507">
        <f t="shared" si="11"/>
        <v>100</v>
      </c>
      <c r="V32" s="1506" t="s">
        <v>8</v>
      </c>
      <c r="W32" s="1507">
        <f t="shared" si="12"/>
        <v>100</v>
      </c>
      <c r="X32" s="1500"/>
      <c r="Y32" s="3613"/>
      <c r="Z32" s="1508" t="str">
        <f t="shared" si="13"/>
        <v>土地级别</v>
      </c>
      <c r="AA32" s="1509">
        <f t="shared" si="3"/>
        <v>1</v>
      </c>
      <c r="AB32" s="1509">
        <f t="shared" si="4"/>
        <v>1</v>
      </c>
      <c r="AC32" s="1509">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2"/>
      <c r="M33" s="2014"/>
      <c r="N33" s="2014"/>
      <c r="O33" s="2021"/>
      <c r="P33" s="3613"/>
      <c r="Q33" s="1505">
        <f t="shared" si="8"/>
        <v>111</v>
      </c>
      <c r="R33" s="1506" t="s">
        <v>8</v>
      </c>
      <c r="S33" s="1507">
        <f t="shared" si="10"/>
        <v>100</v>
      </c>
      <c r="T33" s="1506" t="s">
        <v>8</v>
      </c>
      <c r="U33" s="1507">
        <f t="shared" si="11"/>
        <v>100</v>
      </c>
      <c r="V33" s="1506" t="s">
        <v>8</v>
      </c>
      <c r="W33" s="1507">
        <f t="shared" si="12"/>
        <v>100</v>
      </c>
      <c r="X33" s="1500"/>
      <c r="Y33" s="3613"/>
      <c r="Z33" s="1508">
        <f t="shared" si="13"/>
        <v>111</v>
      </c>
      <c r="AA33" s="1509">
        <f t="shared" si="3"/>
        <v>1</v>
      </c>
      <c r="AB33" s="1509">
        <f t="shared" si="4"/>
        <v>1</v>
      </c>
      <c r="AC33" s="1509">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2"/>
      <c r="M34" s="2014"/>
      <c r="N34" s="2014"/>
      <c r="O34" s="2021"/>
      <c r="P34" s="3614" t="s">
        <v>542</v>
      </c>
      <c r="Q34" s="1505">
        <f t="shared" si="8"/>
        <v>111</v>
      </c>
      <c r="R34" s="1506" t="s">
        <v>8</v>
      </c>
      <c r="S34" s="1507">
        <f t="shared" si="10"/>
        <v>100</v>
      </c>
      <c r="T34" s="1506" t="s">
        <v>8</v>
      </c>
      <c r="U34" s="1507">
        <f t="shared" si="11"/>
        <v>100</v>
      </c>
      <c r="V34" s="1506" t="s">
        <v>8</v>
      </c>
      <c r="W34" s="1507">
        <f t="shared" si="12"/>
        <v>100</v>
      </c>
      <c r="X34" s="1500"/>
      <c r="Y34" s="3615" t="s">
        <v>542</v>
      </c>
      <c r="Z34" s="1508">
        <f t="shared" si="13"/>
        <v>111</v>
      </c>
      <c r="AA34" s="1509">
        <f t="shared" si="3"/>
        <v>1</v>
      </c>
      <c r="AB34" s="1509">
        <f t="shared" si="4"/>
        <v>1</v>
      </c>
      <c r="AC34" s="1509">
        <f t="shared" si="5"/>
        <v>1</v>
      </c>
    </row>
    <row r="35" spans="1:29" s="1291" customFormat="1" ht="15.75" thickBot="1">
      <c r="A35" s="581"/>
      <c r="B35" s="2436">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20"/>
      <c r="M35" s="2050"/>
      <c r="N35" s="2050"/>
      <c r="O35" s="2023"/>
      <c r="P35" s="3615"/>
      <c r="Q35" s="1505">
        <f t="shared" si="8"/>
        <v>111</v>
      </c>
      <c r="R35" s="1510" t="s">
        <v>8</v>
      </c>
      <c r="S35" s="1511">
        <f t="shared" si="10"/>
        <v>100</v>
      </c>
      <c r="T35" s="1510" t="s">
        <v>8</v>
      </c>
      <c r="U35" s="1511">
        <f t="shared" si="11"/>
        <v>100</v>
      </c>
      <c r="V35" s="1510" t="s">
        <v>8</v>
      </c>
      <c r="W35" s="1511">
        <f t="shared" si="12"/>
        <v>100</v>
      </c>
      <c r="X35" s="1512"/>
      <c r="Y35" s="3615"/>
      <c r="Z35" s="1513">
        <f t="shared" si="13"/>
        <v>111</v>
      </c>
      <c r="AA35" s="1509">
        <f t="shared" si="3"/>
        <v>1</v>
      </c>
      <c r="AB35" s="1509">
        <f t="shared" si="4"/>
        <v>1</v>
      </c>
      <c r="AC35" s="1509">
        <f t="shared" si="5"/>
        <v>1</v>
      </c>
    </row>
    <row r="36" spans="1:29" ht="15">
      <c r="A36" s="2622"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2"/>
      <c r="M36" s="2014"/>
      <c r="N36" s="2014"/>
      <c r="O36" s="2021"/>
      <c r="P36" s="3615"/>
      <c r="Q36" s="1505" t="str">
        <f>B36</f>
        <v>宗地面积</v>
      </c>
      <c r="R36" s="1506" t="s">
        <v>8</v>
      </c>
      <c r="S36" s="1507" t="e">
        <f t="shared" si="10"/>
        <v>#N/A</v>
      </c>
      <c r="T36" s="1506" t="s">
        <v>8</v>
      </c>
      <c r="U36" s="1507" t="e">
        <f t="shared" si="11"/>
        <v>#N/A</v>
      </c>
      <c r="V36" s="1506" t="s">
        <v>8</v>
      </c>
      <c r="W36" s="1507" t="e">
        <f t="shared" si="12"/>
        <v>#N/A</v>
      </c>
      <c r="X36" s="1500"/>
      <c r="Y36" s="3615"/>
      <c r="Z36" s="1508" t="str">
        <f t="shared" si="13"/>
        <v>宗地面积</v>
      </c>
      <c r="AA36" s="1509" t="e">
        <f t="shared" si="3"/>
        <v>#N/A</v>
      </c>
      <c r="AB36" s="1509" t="e">
        <f t="shared" si="4"/>
        <v>#N/A</v>
      </c>
      <c r="AC36" s="1509"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2"/>
      <c r="M37" s="2014"/>
      <c r="N37" s="2014"/>
      <c r="O37" s="2021"/>
      <c r="P37" s="3615"/>
      <c r="Q37" s="1505" t="str">
        <f t="shared" ref="Q37:Q42" si="14">B37</f>
        <v>宗地形状</v>
      </c>
      <c r="R37" s="1506" t="s">
        <v>8</v>
      </c>
      <c r="S37" s="1507">
        <f t="shared" si="10"/>
        <v>100</v>
      </c>
      <c r="T37" s="1506" t="s">
        <v>8</v>
      </c>
      <c r="U37" s="1507">
        <f t="shared" si="11"/>
        <v>100</v>
      </c>
      <c r="V37" s="1506" t="s">
        <v>8</v>
      </c>
      <c r="W37" s="1507">
        <f t="shared" si="12"/>
        <v>100</v>
      </c>
      <c r="X37" s="1500"/>
      <c r="Y37" s="3615"/>
      <c r="Z37" s="1508" t="str">
        <f t="shared" si="13"/>
        <v>宗地形状</v>
      </c>
      <c r="AA37" s="1509">
        <f t="shared" si="3"/>
        <v>1</v>
      </c>
      <c r="AB37" s="1509">
        <f t="shared" si="4"/>
        <v>1</v>
      </c>
      <c r="AC37" s="1509">
        <f t="shared" si="5"/>
        <v>1</v>
      </c>
    </row>
    <row r="38" spans="1:29" s="1201" customFormat="1" ht="15">
      <c r="A38" s="592"/>
      <c r="B38" s="1807"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5"/>
      <c r="M38" s="2016"/>
      <c r="N38" s="2016"/>
      <c r="O38" s="2017"/>
      <c r="P38" s="3615"/>
      <c r="Q38" s="1505" t="str">
        <f t="shared" si="14"/>
        <v>宗地开发程度</v>
      </c>
      <c r="R38" s="1501" t="s">
        <v>8</v>
      </c>
      <c r="S38" s="1502">
        <f t="shared" si="10"/>
        <v>100</v>
      </c>
      <c r="T38" s="1501" t="s">
        <v>8</v>
      </c>
      <c r="U38" s="1502">
        <f t="shared" si="11"/>
        <v>100</v>
      </c>
      <c r="V38" s="1501" t="s">
        <v>8</v>
      </c>
      <c r="W38" s="1502">
        <f t="shared" si="12"/>
        <v>100</v>
      </c>
      <c r="X38" s="1503"/>
      <c r="Y38" s="3615"/>
      <c r="Z38" s="1131" t="str">
        <f t="shared" si="13"/>
        <v>宗地开发程度</v>
      </c>
      <c r="AA38" s="1504">
        <f t="shared" si="3"/>
        <v>1</v>
      </c>
      <c r="AB38" s="1504">
        <f t="shared" si="4"/>
        <v>1</v>
      </c>
      <c r="AC38" s="1504">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3615" t="s">
        <v>593</v>
      </c>
      <c r="Q39" s="1505" t="str">
        <f t="shared" si="14"/>
        <v>工程地质条件</v>
      </c>
      <c r="R39" s="1506" t="s">
        <v>8</v>
      </c>
      <c r="S39" s="1507">
        <f t="shared" si="10"/>
        <v>100</v>
      </c>
      <c r="T39" s="1506" t="s">
        <v>8</v>
      </c>
      <c r="U39" s="1507">
        <f t="shared" si="11"/>
        <v>100</v>
      </c>
      <c r="V39" s="1506" t="s">
        <v>8</v>
      </c>
      <c r="W39" s="1507">
        <f t="shared" si="12"/>
        <v>100</v>
      </c>
      <c r="X39" s="1500"/>
      <c r="Y39" s="3615" t="s">
        <v>593</v>
      </c>
      <c r="Z39" s="1508" t="str">
        <f t="shared" si="13"/>
        <v>工程地质条件</v>
      </c>
      <c r="AA39" s="1509">
        <f t="shared" si="3"/>
        <v>1</v>
      </c>
      <c r="AB39" s="1509">
        <f t="shared" si="4"/>
        <v>1</v>
      </c>
      <c r="AC39" s="1509">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2"/>
      <c r="M40" s="2014"/>
      <c r="N40" s="2014"/>
      <c r="O40" s="2021"/>
      <c r="P40" s="3615"/>
      <c r="Q40" s="1505">
        <f t="shared" si="14"/>
        <v>111</v>
      </c>
      <c r="R40" s="1506" t="s">
        <v>8</v>
      </c>
      <c r="S40" s="1507">
        <f t="shared" si="10"/>
        <v>100</v>
      </c>
      <c r="T40" s="1506" t="s">
        <v>8</v>
      </c>
      <c r="U40" s="1507">
        <f t="shared" si="11"/>
        <v>100</v>
      </c>
      <c r="V40" s="1506" t="s">
        <v>8</v>
      </c>
      <c r="W40" s="1507">
        <f t="shared" si="12"/>
        <v>100</v>
      </c>
      <c r="X40" s="1500"/>
      <c r="Y40" s="3615"/>
      <c r="Z40" s="1508">
        <f t="shared" si="13"/>
        <v>111</v>
      </c>
      <c r="AA40" s="1509">
        <f t="shared" si="3"/>
        <v>1</v>
      </c>
      <c r="AB40" s="1509">
        <f t="shared" si="4"/>
        <v>1</v>
      </c>
      <c r="AC40" s="1509">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2"/>
      <c r="M41" s="2014"/>
      <c r="N41" s="2014"/>
      <c r="O41" s="2021"/>
      <c r="P41" s="3615"/>
      <c r="Q41" s="1505">
        <f t="shared" si="14"/>
        <v>111</v>
      </c>
      <c r="R41" s="1506" t="s">
        <v>8</v>
      </c>
      <c r="S41" s="1507">
        <f t="shared" si="10"/>
        <v>100</v>
      </c>
      <c r="T41" s="1506" t="s">
        <v>8</v>
      </c>
      <c r="U41" s="1507">
        <f t="shared" si="11"/>
        <v>100</v>
      </c>
      <c r="V41" s="1506" t="s">
        <v>8</v>
      </c>
      <c r="W41" s="1507">
        <f t="shared" si="12"/>
        <v>100</v>
      </c>
      <c r="X41" s="1500"/>
      <c r="Y41" s="3615"/>
      <c r="Z41" s="1508">
        <f t="shared" si="13"/>
        <v>111</v>
      </c>
      <c r="AA41" s="1509">
        <f t="shared" si="3"/>
        <v>1</v>
      </c>
      <c r="AB41" s="1509">
        <f t="shared" si="4"/>
        <v>1</v>
      </c>
      <c r="AC41" s="1509">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20"/>
      <c r="M42" s="2050"/>
      <c r="N42" s="2050"/>
      <c r="O42" s="2023"/>
      <c r="P42" s="3615"/>
      <c r="Q42" s="1505">
        <f t="shared" si="14"/>
        <v>111</v>
      </c>
      <c r="R42" s="1510" t="s">
        <v>8</v>
      </c>
      <c r="S42" s="1511">
        <f t="shared" si="10"/>
        <v>100</v>
      </c>
      <c r="T42" s="1510" t="s">
        <v>8</v>
      </c>
      <c r="U42" s="1511">
        <f t="shared" si="11"/>
        <v>100</v>
      </c>
      <c r="V42" s="1510" t="s">
        <v>8</v>
      </c>
      <c r="W42" s="1511">
        <f t="shared" si="12"/>
        <v>100</v>
      </c>
      <c r="X42" s="1512"/>
      <c r="Y42" s="3615"/>
      <c r="Z42" s="1513">
        <f t="shared" si="13"/>
        <v>111</v>
      </c>
      <c r="AA42" s="1509">
        <f t="shared" si="3"/>
        <v>1</v>
      </c>
      <c r="AB42" s="1509">
        <f t="shared" si="4"/>
        <v>1</v>
      </c>
      <c r="AC42" s="1509">
        <f t="shared" si="5"/>
        <v>1</v>
      </c>
    </row>
    <row r="43" spans="1:29" ht="15">
      <c r="A43" s="599" t="s">
        <v>548</v>
      </c>
      <c r="B43" s="600" t="s">
        <v>2897</v>
      </c>
      <c r="C43" s="601" t="s">
        <v>1</v>
      </c>
      <c r="D43" s="602"/>
      <c r="E43" s="603"/>
      <c r="F43" s="604"/>
      <c r="G43" s="605"/>
      <c r="H43" s="606"/>
      <c r="I43" s="603"/>
      <c r="J43" s="606"/>
      <c r="K43" s="1292"/>
      <c r="L43" s="2024"/>
      <c r="M43" s="2014"/>
      <c r="N43" s="2014"/>
      <c r="O43" s="2025"/>
      <c r="P43" s="3578" t="str">
        <f>A43</f>
        <v>成交单价</v>
      </c>
      <c r="Q43" s="3578"/>
      <c r="R43" s="3579">
        <f>E43</f>
        <v>0</v>
      </c>
      <c r="S43" s="3579"/>
      <c r="T43" s="3579">
        <f>G43</f>
        <v>0</v>
      </c>
      <c r="U43" s="3579"/>
      <c r="V43" s="3579">
        <f>I43</f>
        <v>0</v>
      </c>
      <c r="W43" s="3579"/>
      <c r="X43" s="1495"/>
      <c r="Y43" s="1514"/>
      <c r="Z43" s="1495"/>
      <c r="AA43" s="1495"/>
      <c r="AB43" s="1495"/>
      <c r="AC43" s="1495"/>
    </row>
    <row r="44" spans="1:29" ht="15.75" thickBot="1">
      <c r="A44" s="607" t="s">
        <v>2671</v>
      </c>
      <c r="B44" s="608"/>
      <c r="C44" s="609" t="e">
        <f>R45</f>
        <v>#DIV/0!</v>
      </c>
      <c r="D44" s="3012" t="s">
        <v>2963</v>
      </c>
      <c r="E44" s="609" t="e">
        <f>R44</f>
        <v>#DIV/0!</v>
      </c>
      <c r="F44" s="3013"/>
      <c r="G44" s="610" t="e">
        <f>T44</f>
        <v>#DIV/0!</v>
      </c>
      <c r="H44" s="3013"/>
      <c r="I44" s="609" t="e">
        <f>V44</f>
        <v>#DIV/0!</v>
      </c>
      <c r="J44" s="3013"/>
      <c r="K44" s="3014">
        <f>F44+H44+J44</f>
        <v>0</v>
      </c>
      <c r="L44" s="2024"/>
      <c r="M44" s="2014"/>
      <c r="N44" s="2014"/>
      <c r="O44" s="2025"/>
      <c r="P44" s="3578" t="str">
        <f>A44</f>
        <v>比较价格（元/平方米）</v>
      </c>
      <c r="Q44" s="3578"/>
      <c r="R44" s="3580" t="e">
        <f>ROUND(PRODUCT(R43,AA9:AA42),0)</f>
        <v>#DIV/0!</v>
      </c>
      <c r="S44" s="3580"/>
      <c r="T44" s="3580" t="e">
        <f>ROUND(PRODUCT(T43,AB9:AB42),0)</f>
        <v>#DIV/0!</v>
      </c>
      <c r="U44" s="3580"/>
      <c r="V44" s="3580" t="e">
        <f>ROUND(PRODUCT(V43,AC9:AC42),0)</f>
        <v>#DIV/0!</v>
      </c>
      <c r="W44" s="3580"/>
      <c r="X44" s="1495"/>
      <c r="Y44" s="1495"/>
      <c r="Z44" s="1495"/>
      <c r="AA44" s="1495"/>
      <c r="AB44" s="1495"/>
      <c r="AC44" s="1495"/>
    </row>
    <row r="45" spans="1:29" ht="15.75" thickBot="1">
      <c r="A45" s="611" t="s">
        <v>2898</v>
      </c>
      <c r="B45" s="612"/>
      <c r="C45" s="613" t="e">
        <f>R45</f>
        <v>#DIV/0!</v>
      </c>
      <c r="D45" s="613"/>
      <c r="E45" s="613"/>
      <c r="F45" s="613"/>
      <c r="G45" s="613"/>
      <c r="H45" s="613"/>
      <c r="I45" s="613"/>
      <c r="J45" s="613"/>
      <c r="K45" s="1293"/>
      <c r="L45" s="2024"/>
      <c r="M45" s="2014"/>
      <c r="N45" s="2014"/>
      <c r="O45" s="2025"/>
      <c r="P45" s="3575" t="str">
        <f>A45</f>
        <v>估价对象XX用房的比较价格（楼面单价，元/平方米）</v>
      </c>
      <c r="Q45" s="3576"/>
      <c r="R45" s="3627" t="e">
        <f>ROUND(IF(D44="简单平均",AVERAGE(R44:W44),R44*F44+T44*H44+V44*J44),0)</f>
        <v>#DIV/0!</v>
      </c>
      <c r="S45" s="3627"/>
      <c r="T45" s="3627"/>
      <c r="U45" s="3627"/>
      <c r="V45" s="3627"/>
      <c r="W45" s="3627"/>
      <c r="X45" s="1495"/>
      <c r="Y45" s="1495"/>
      <c r="Z45" s="1495"/>
      <c r="AA45" s="1495"/>
      <c r="AB45" s="1495"/>
      <c r="AC45" s="1495"/>
    </row>
    <row r="46" spans="1:29">
      <c r="A46" s="3210"/>
      <c r="B46" s="3210"/>
      <c r="C46" s="3210"/>
      <c r="D46" s="3210"/>
      <c r="E46" s="3210"/>
      <c r="F46" s="3210"/>
      <c r="G46" s="3212"/>
      <c r="H46" s="3210"/>
      <c r="I46" s="3210"/>
      <c r="J46" s="3210"/>
      <c r="K46" s="3213"/>
      <c r="L46" s="2029"/>
      <c r="M46" s="2014"/>
      <c r="N46" s="2014"/>
      <c r="O46" s="2025"/>
      <c r="P46" s="2025"/>
      <c r="Q46" s="2025"/>
      <c r="R46" s="2025"/>
      <c r="S46" s="2025"/>
      <c r="T46" s="2025"/>
      <c r="U46" s="2025"/>
      <c r="V46" s="2025"/>
      <c r="W46" s="2025"/>
      <c r="X46" s="2025"/>
      <c r="Y46" s="2025"/>
      <c r="Z46" s="2025"/>
      <c r="AA46" s="2025"/>
      <c r="AB46" s="2025"/>
      <c r="AC46" s="2025"/>
    </row>
    <row r="47" spans="1:29">
      <c r="A47" s="3210"/>
      <c r="B47" s="3210"/>
      <c r="C47" s="3210"/>
      <c r="D47" s="3210"/>
      <c r="E47" s="3210"/>
      <c r="F47" s="3210"/>
      <c r="G47" s="3210"/>
      <c r="H47" s="3210"/>
      <c r="I47" s="3210"/>
      <c r="J47" s="3210"/>
      <c r="K47" s="3213"/>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0"/>
      <c r="B48" s="3210"/>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13"/>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0"/>
      <c r="B49" s="3210"/>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13"/>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1"/>
      <c r="B50" s="3211"/>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4"/>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1"/>
      <c r="B51" s="3222"/>
      <c r="C51" s="2030"/>
      <c r="D51" s="2026"/>
      <c r="E51" s="2026"/>
      <c r="F51" s="2026"/>
      <c r="G51" s="2026"/>
      <c r="H51" s="2026"/>
      <c r="I51" s="2026"/>
      <c r="J51" s="2026"/>
      <c r="K51" s="3214"/>
      <c r="L51" s="2032"/>
      <c r="M51" s="2026"/>
      <c r="N51" s="2026"/>
      <c r="O51" s="2026"/>
      <c r="P51" s="2026"/>
      <c r="Q51" s="2026"/>
      <c r="R51" s="2026"/>
      <c r="S51" s="2026"/>
      <c r="T51" s="2026"/>
      <c r="U51" s="2026"/>
      <c r="V51" s="2026"/>
      <c r="W51" s="2026"/>
      <c r="X51" s="2026"/>
      <c r="Y51" s="2026"/>
      <c r="Z51" s="2026"/>
      <c r="AA51" s="2026"/>
      <c r="AB51" s="2026"/>
      <c r="AC51" s="2026"/>
    </row>
    <row r="52" spans="1:29" ht="27">
      <c r="A52" s="619" t="s">
        <v>552</v>
      </c>
      <c r="B52" s="620" t="s">
        <v>553</v>
      </c>
      <c r="C52" s="1496" t="s">
        <v>1712</v>
      </c>
      <c r="D52" s="2105" t="s">
        <v>2278</v>
      </c>
      <c r="E52" s="621" t="s">
        <v>554</v>
      </c>
      <c r="F52" s="1863" t="s">
        <v>555</v>
      </c>
      <c r="G52" s="3622" t="s">
        <v>2269</v>
      </c>
      <c r="H52" s="3623"/>
      <c r="I52" s="1864" t="s">
        <v>1931</v>
      </c>
      <c r="J52" s="1492">
        <f>项目基本情况!F41</f>
        <v>0</v>
      </c>
      <c r="K52" s="2033" t="s">
        <v>1711</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3" t="s">
        <v>556</v>
      </c>
      <c r="B53" s="624" t="e">
        <f>C45</f>
        <v>#DIV/0!</v>
      </c>
      <c r="C53" s="625">
        <v>1</v>
      </c>
      <c r="D53" s="2106">
        <v>1</v>
      </c>
      <c r="E53" s="625">
        <f>'数据-汇总表'!E8+'数据-汇总表'!E9</f>
        <v>30803.628000000001</v>
      </c>
      <c r="F53" s="1862" t="e">
        <f t="shared" ref="F53:F62" si="15">ROUND(B53*E53/10000,0)</f>
        <v>#DIV/0!</v>
      </c>
      <c r="G53" s="3624"/>
      <c r="H53" s="3625"/>
      <c r="I53" s="1865">
        <v>1</v>
      </c>
      <c r="J53" s="1493">
        <v>1</v>
      </c>
      <c r="K53" s="3215"/>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7" t="s">
        <v>557</v>
      </c>
      <c r="B54" s="628" t="e">
        <f>ROUND($C$45*C54*D54,0)</f>
        <v>#DIV/0!</v>
      </c>
      <c r="C54" s="370">
        <f t="shared" ref="C54:C62" si="16">IF($C$52="北京市系数",I54,J54)</f>
        <v>0.7</v>
      </c>
      <c r="D54" s="2107">
        <v>0.25</v>
      </c>
      <c r="E54" s="629"/>
      <c r="F54" s="1862" t="e">
        <f t="shared" si="15"/>
        <v>#DIV/0!</v>
      </c>
      <c r="G54" s="3626" t="s">
        <v>2270</v>
      </c>
      <c r="H54" s="1866" t="str">
        <f>项目基本情况!B43</f>
        <v>六级</v>
      </c>
      <c r="I54" s="1865">
        <f>SUMIF(修正!$A$45:$A$56,H54,修正!B45:B56)</f>
        <v>0.7</v>
      </c>
      <c r="J54" s="1494"/>
      <c r="K54" s="3215"/>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7" t="s">
        <v>558</v>
      </c>
      <c r="B55" s="628" t="e">
        <f t="shared" ref="B55:B62" si="17">ROUND($C$45*C55*D55,0)</f>
        <v>#DIV/0!</v>
      </c>
      <c r="C55" s="370">
        <f t="shared" si="16"/>
        <v>0.4</v>
      </c>
      <c r="D55" s="2107">
        <v>0.25</v>
      </c>
      <c r="E55" s="629"/>
      <c r="F55" s="1862" t="e">
        <f t="shared" si="15"/>
        <v>#DIV/0!</v>
      </c>
      <c r="G55" s="3626"/>
      <c r="H55" s="1867" t="str">
        <f>项目基本情况!B43</f>
        <v>六级</v>
      </c>
      <c r="I55" s="1865">
        <f>SUMIF(修正!$A$45:$A$56,H55,修正!C45:C56)</f>
        <v>0.4</v>
      </c>
      <c r="J55" s="1494"/>
      <c r="K55" s="3215"/>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7" t="s">
        <v>559</v>
      </c>
      <c r="B56" s="628" t="e">
        <f t="shared" si="17"/>
        <v>#DIV/0!</v>
      </c>
      <c r="C56" s="370">
        <f t="shared" si="16"/>
        <v>0.28000000000000003</v>
      </c>
      <c r="D56" s="2107">
        <v>0.25</v>
      </c>
      <c r="E56" s="629"/>
      <c r="F56" s="1862" t="e">
        <f t="shared" si="15"/>
        <v>#DIV/0!</v>
      </c>
      <c r="G56" s="3626"/>
      <c r="H56" s="1867" t="str">
        <f>项目基本情况!B43</f>
        <v>六级</v>
      </c>
      <c r="I56" s="1865">
        <f>SUMIF(修正!$A$45:$A$56,H56,修正!D45:D56)</f>
        <v>0.28000000000000003</v>
      </c>
      <c r="J56" s="1494"/>
      <c r="K56" s="3215"/>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7" t="s">
        <v>560</v>
      </c>
      <c r="B57" s="628" t="e">
        <f t="shared" si="17"/>
        <v>#DIV/0!</v>
      </c>
      <c r="C57" s="370">
        <f t="shared" si="16"/>
        <v>0.25</v>
      </c>
      <c r="D57" s="2107">
        <v>0.25</v>
      </c>
      <c r="E57" s="629"/>
      <c r="F57" s="1862" t="e">
        <f t="shared" si="15"/>
        <v>#DIV/0!</v>
      </c>
      <c r="G57" s="3626"/>
      <c r="H57" s="1867" t="str">
        <f>项目基本情况!B43</f>
        <v>六级</v>
      </c>
      <c r="I57" s="1865">
        <f>SUMIF(修正!$A$45:$A$56,H57,修正!E45:E56)</f>
        <v>0.25</v>
      </c>
      <c r="J57" s="1494"/>
      <c r="K57" s="3215"/>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2313</v>
      </c>
      <c r="B58" s="628" t="e">
        <f t="shared" si="17"/>
        <v>#DIV/0!</v>
      </c>
      <c r="C58" s="370">
        <f t="shared" si="16"/>
        <v>0.25</v>
      </c>
      <c r="D58" s="2107">
        <v>0.25</v>
      </c>
      <c r="E58" s="631">
        <f>'数据-汇总表'!E11</f>
        <v>0</v>
      </c>
      <c r="F58" s="1862" t="e">
        <f t="shared" si="15"/>
        <v>#DIV/0!</v>
      </c>
      <c r="G58" s="1868" t="s">
        <v>2271</v>
      </c>
      <c r="H58" s="1867" t="str">
        <f>项目基本情况!C43</f>
        <v>六级</v>
      </c>
      <c r="I58" s="1865">
        <f>SUMIF(修正!$A$45:$A$56,H58,修正!F45:F56)</f>
        <v>0.25</v>
      </c>
      <c r="J58" s="1494"/>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561</v>
      </c>
      <c r="B59" s="628" t="e">
        <f t="shared" si="17"/>
        <v>#DIV/0!</v>
      </c>
      <c r="C59" s="370">
        <f t="shared" si="16"/>
        <v>0.25</v>
      </c>
      <c r="D59" s="2107">
        <v>0.25</v>
      </c>
      <c r="E59" s="631">
        <f>'数据-汇总表'!E12</f>
        <v>0</v>
      </c>
      <c r="F59" s="1862" t="e">
        <f t="shared" si="15"/>
        <v>#DIV/0!</v>
      </c>
      <c r="G59" s="1858" t="s">
        <v>1665</v>
      </c>
      <c r="H59" s="1866" t="str">
        <f>IF(G59="商业",项目基本情况!B43,IF(G59="办公",项目基本情况!C43,IF(G59="住宅",项目基本情况!D43,项目基本情况!E43)))</f>
        <v>六级</v>
      </c>
      <c r="I59" s="1865">
        <f>SUMIF(修正!$A$45:$A$56,H59,修正!G45:G56)</f>
        <v>0.25</v>
      </c>
      <c r="J59" s="1494"/>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562</v>
      </c>
      <c r="B60" s="628" t="e">
        <f t="shared" si="17"/>
        <v>#DIV/0!</v>
      </c>
      <c r="C60" s="370">
        <f t="shared" si="16"/>
        <v>0.2</v>
      </c>
      <c r="D60" s="2107">
        <v>0.25</v>
      </c>
      <c r="E60" s="631">
        <f>'数据-汇总表'!E13</f>
        <v>0</v>
      </c>
      <c r="F60" s="1862" t="e">
        <f t="shared" si="15"/>
        <v>#DIV/0!</v>
      </c>
      <c r="G60" s="1858" t="s">
        <v>912</v>
      </c>
      <c r="H60" s="1866" t="str">
        <f>IF(G60="商业",项目基本情况!B43,IF(G60="办公",项目基本情况!C43,IF(G60="住宅",项目基本情况!D43,项目基本情况!E43)))</f>
        <v>六级</v>
      </c>
      <c r="I60" s="1865">
        <f>SUMIF(修正!$A$45:$A$56,H60,修正!H45:H56)</f>
        <v>0.2</v>
      </c>
      <c r="J60" s="1494"/>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563</v>
      </c>
      <c r="B61" s="628" t="e">
        <f t="shared" si="17"/>
        <v>#DIV/0!</v>
      </c>
      <c r="C61" s="370">
        <f t="shared" si="16"/>
        <v>0.2</v>
      </c>
      <c r="D61" s="2107">
        <v>0.25</v>
      </c>
      <c r="E61" s="631">
        <f>'数据-汇总表'!E14</f>
        <v>0</v>
      </c>
      <c r="F61" s="1862" t="e">
        <f t="shared" si="15"/>
        <v>#DIV/0!</v>
      </c>
      <c r="G61" s="1868" t="s">
        <v>2270</v>
      </c>
      <c r="H61" s="1867" t="str">
        <f>项目基本情况!B43</f>
        <v>六级</v>
      </c>
      <c r="I61" s="1865">
        <f>SUMIF(修正!$A$45:$A$56,H61,修正!H45:H56)</f>
        <v>0.2</v>
      </c>
      <c r="J61" s="1494"/>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7" t="s">
        <v>564</v>
      </c>
      <c r="B62" s="628" t="e">
        <f t="shared" si="17"/>
        <v>#DIV/0!</v>
      </c>
      <c r="C62" s="370">
        <f t="shared" si="16"/>
        <v>0.2</v>
      </c>
      <c r="D62" s="2107">
        <v>0.25</v>
      </c>
      <c r="E62" s="631">
        <f>'数据-汇总表'!E15</f>
        <v>0</v>
      </c>
      <c r="F62" s="1862" t="e">
        <f t="shared" si="15"/>
        <v>#DIV/0!</v>
      </c>
      <c r="G62" s="1869" t="s">
        <v>2271</v>
      </c>
      <c r="H62" s="1870" t="str">
        <f>项目基本情况!C43</f>
        <v>六级</v>
      </c>
      <c r="I62" s="1865">
        <f>SUMIF(修正!$A$45:$A$56,H62,修正!H45:H56)</f>
        <v>0.2</v>
      </c>
      <c r="J62" s="1494"/>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2" t="s">
        <v>565</v>
      </c>
      <c r="B63" s="633" t="s">
        <v>17</v>
      </c>
      <c r="C63" s="633" t="s">
        <v>18</v>
      </c>
      <c r="D63" s="633" t="s">
        <v>2279</v>
      </c>
      <c r="E63" s="633">
        <f>IF(B43="楼面地价",SUM(E53:E62),'数据-汇总表'!D3)</f>
        <v>5500.65</v>
      </c>
      <c r="F63" s="634" t="e">
        <f>IF(B43="楼面地价",SUM(F53:F62),ROUND(C45*E63/10000,0))</f>
        <v>#DIV/0!</v>
      </c>
      <c r="G63" s="2035"/>
      <c r="H63" s="2035"/>
      <c r="I63" s="2035"/>
      <c r="J63" s="2035"/>
      <c r="K63" s="3223"/>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2021-8-1</v>
      </c>
      <c r="D65" s="2514">
        <f>EDATE(C65,-3)</f>
        <v>44317</v>
      </c>
      <c r="E65" s="2514">
        <f t="shared" ref="E65:N65" si="18">EDATE(D65,-3)</f>
        <v>44228</v>
      </c>
      <c r="F65" s="2514">
        <f t="shared" si="18"/>
        <v>44136</v>
      </c>
      <c r="G65" s="2514">
        <f t="shared" si="18"/>
        <v>44044</v>
      </c>
      <c r="H65" s="2514">
        <f t="shared" si="18"/>
        <v>43952</v>
      </c>
      <c r="I65" s="2514">
        <f t="shared" si="18"/>
        <v>43862</v>
      </c>
      <c r="J65" s="2514">
        <f t="shared" si="18"/>
        <v>43770</v>
      </c>
      <c r="K65" s="2514">
        <f t="shared" si="18"/>
        <v>43678</v>
      </c>
      <c r="L65" s="2514">
        <f t="shared" si="18"/>
        <v>43586</v>
      </c>
      <c r="M65" s="2514">
        <f t="shared" si="18"/>
        <v>43497</v>
      </c>
      <c r="N65" s="2514">
        <f t="shared" si="18"/>
        <v>43405</v>
      </c>
      <c r="O65" s="2025"/>
      <c r="P65" s="2025"/>
      <c r="Q65" s="2025"/>
      <c r="R65" s="2025"/>
      <c r="S65" s="2025"/>
      <c r="T65" s="2025"/>
      <c r="U65" s="2025"/>
      <c r="V65" s="2025"/>
      <c r="W65" s="2025"/>
      <c r="X65" s="2025"/>
      <c r="Y65" s="2025"/>
      <c r="Z65" s="2025"/>
      <c r="AA65" s="2025"/>
      <c r="AB65" s="2025"/>
      <c r="AC65" s="2025"/>
    </row>
    <row r="66" spans="1:29" ht="21.75" thickBot="1">
      <c r="A66" s="1517" t="s">
        <v>566</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2512</v>
      </c>
      <c r="B67" s="636"/>
      <c r="C67" s="2511" t="str">
        <f>YEAR(C65)&amp;"-"&amp;ROUNDUP(MONTH(C65)/3,0)</f>
        <v>2021-3</v>
      </c>
      <c r="D67" s="2516" t="str">
        <f t="shared" ref="D67:N67" si="19">YEAR(D65)&amp;"-"&amp;ROUNDUP(MONTH(D65)/3,0)</f>
        <v>2021-2</v>
      </c>
      <c r="E67" s="2516" t="str">
        <f t="shared" si="19"/>
        <v>2021-1</v>
      </c>
      <c r="F67" s="2516" t="str">
        <f t="shared" si="19"/>
        <v>2020-4</v>
      </c>
      <c r="G67" s="2516" t="str">
        <f t="shared" si="19"/>
        <v>2020-3</v>
      </c>
      <c r="H67" s="2516" t="str">
        <f t="shared" si="19"/>
        <v>2020-2</v>
      </c>
      <c r="I67" s="2516" t="str">
        <f t="shared" si="19"/>
        <v>2020-1</v>
      </c>
      <c r="J67" s="2516" t="str">
        <f t="shared" si="19"/>
        <v>2019-4</v>
      </c>
      <c r="K67" s="2516" t="str">
        <f t="shared" si="19"/>
        <v>2019-3</v>
      </c>
      <c r="L67" s="2516" t="str">
        <f t="shared" si="19"/>
        <v>2019-2</v>
      </c>
      <c r="M67" s="2516" t="str">
        <f t="shared" si="19"/>
        <v>2019-1</v>
      </c>
      <c r="N67" s="2516" t="str">
        <f t="shared" si="19"/>
        <v>2018-4</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2627</v>
      </c>
      <c r="B68" s="471" t="str">
        <f>"北京市平均增长率"&amp;TEXT(基准地价住宅!P24,"0.00%")</f>
        <v>北京市平均增长率0.00%</v>
      </c>
      <c r="C68" s="881">
        <v>100</v>
      </c>
      <c r="D68" s="720"/>
      <c r="E68" s="720"/>
      <c r="F68" s="720"/>
      <c r="G68" s="720"/>
      <c r="H68" s="720"/>
      <c r="I68" s="720"/>
      <c r="J68" s="720"/>
      <c r="K68" s="720"/>
      <c r="L68" s="720"/>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3" t="s">
        <v>567</v>
      </c>
      <c r="B69" s="644"/>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49" t="s">
        <v>523</v>
      </c>
      <c r="B70" s="638"/>
      <c r="C70" s="650" t="s">
        <v>568</v>
      </c>
      <c r="D70" s="651"/>
      <c r="E70" s="651"/>
      <c r="F70" s="651"/>
      <c r="G70" s="651"/>
      <c r="H70" s="651"/>
      <c r="I70" s="651"/>
      <c r="J70" s="651"/>
      <c r="K70" s="651"/>
      <c r="L70" s="652"/>
      <c r="M70" s="653"/>
      <c r="N70" s="3224"/>
      <c r="O70" s="2041"/>
      <c r="P70" s="2042"/>
      <c r="Q70" s="2037"/>
      <c r="R70" s="1903"/>
      <c r="S70" s="1903"/>
      <c r="T70" s="1903"/>
      <c r="U70" s="1903"/>
      <c r="V70" s="1903"/>
      <c r="W70" s="1903"/>
      <c r="X70" s="1903"/>
      <c r="Y70" s="1903"/>
      <c r="Z70" s="1903"/>
      <c r="AA70" s="1903"/>
      <c r="AB70" s="1903"/>
      <c r="AC70" s="1903"/>
    </row>
    <row r="71" spans="1:29" s="1201" customFormat="1" ht="15.75" thickBot="1">
      <c r="A71" s="649"/>
      <c r="B71" s="638"/>
      <c r="C71" s="639">
        <v>100</v>
      </c>
      <c r="D71" s="640"/>
      <c r="E71" s="640"/>
      <c r="F71" s="640"/>
      <c r="G71" s="640"/>
      <c r="H71" s="640"/>
      <c r="I71" s="640"/>
      <c r="J71" s="640"/>
      <c r="K71" s="640"/>
      <c r="L71" s="640"/>
      <c r="M71" s="642"/>
      <c r="N71" s="3224"/>
      <c r="O71" s="2041"/>
      <c r="P71" s="2037"/>
      <c r="Q71" s="2037"/>
      <c r="R71" s="1903"/>
      <c r="S71" s="1903"/>
      <c r="T71" s="1903"/>
      <c r="U71" s="1903"/>
      <c r="V71" s="1903"/>
      <c r="W71" s="1903"/>
      <c r="X71" s="1903"/>
      <c r="Y71" s="1903"/>
      <c r="Z71" s="1903"/>
      <c r="AA71" s="1903"/>
      <c r="AB71" s="1903"/>
      <c r="AC71" s="1903"/>
    </row>
    <row r="72" spans="1:29">
      <c r="A72" s="654" t="s">
        <v>569</v>
      </c>
      <c r="B72" s="655" t="s">
        <v>526</v>
      </c>
      <c r="C72" s="590"/>
      <c r="D72" s="590"/>
      <c r="E72" s="590"/>
      <c r="F72" s="590"/>
      <c r="G72" s="590"/>
      <c r="H72" s="590"/>
      <c r="I72" s="590"/>
      <c r="J72" s="590"/>
      <c r="K72" s="656"/>
      <c r="L72" s="657"/>
      <c r="M72" s="658"/>
      <c r="N72" s="3225"/>
      <c r="O72" s="2043"/>
      <c r="P72" s="2044"/>
      <c r="Q72" s="2037"/>
      <c r="R72" s="2025"/>
      <c r="S72" s="2025"/>
      <c r="T72" s="2025"/>
      <c r="U72" s="2025"/>
      <c r="V72" s="2025"/>
      <c r="W72" s="2025"/>
      <c r="X72" s="2025"/>
      <c r="Y72" s="2025"/>
      <c r="Z72" s="2025"/>
      <c r="AA72" s="2025"/>
      <c r="AB72" s="2025"/>
      <c r="AC72" s="2025"/>
    </row>
    <row r="73" spans="1:29" ht="15.75" thickBot="1">
      <c r="A73" s="659"/>
      <c r="B73" s="660"/>
      <c r="C73" s="661"/>
      <c r="D73" s="661"/>
      <c r="E73" s="661"/>
      <c r="F73" s="661"/>
      <c r="G73" s="661"/>
      <c r="H73" s="661"/>
      <c r="I73" s="661"/>
      <c r="J73" s="661"/>
      <c r="K73" s="661"/>
      <c r="L73" s="661"/>
      <c r="M73" s="662"/>
      <c r="N73" s="3226"/>
      <c r="O73" s="2045"/>
      <c r="P73" s="2044"/>
      <c r="Q73" s="2037"/>
      <c r="R73" s="2025"/>
      <c r="S73" s="2025"/>
      <c r="T73" s="2025"/>
      <c r="U73" s="2025"/>
      <c r="V73" s="2025"/>
      <c r="W73" s="2025"/>
      <c r="X73" s="2025"/>
      <c r="Y73" s="2025"/>
      <c r="Z73" s="2025"/>
      <c r="AA73" s="2025"/>
      <c r="AB73" s="2025"/>
      <c r="AC73" s="2025"/>
    </row>
    <row r="74" spans="1:29" ht="27.75" thickTop="1">
      <c r="A74" s="659"/>
      <c r="B74" s="663" t="s">
        <v>529</v>
      </c>
      <c r="C74" s="664"/>
      <c r="D74" s="664"/>
      <c r="E74" s="664"/>
      <c r="F74" s="664"/>
      <c r="G74" s="664"/>
      <c r="H74" s="664"/>
      <c r="I74" s="664"/>
      <c r="J74" s="664"/>
      <c r="K74" s="665"/>
      <c r="L74" s="666"/>
      <c r="M74" s="667"/>
      <c r="N74" s="3225"/>
      <c r="O74" s="2043"/>
      <c r="P74" s="2044"/>
      <c r="Q74" s="2037"/>
      <c r="R74" s="2025"/>
      <c r="S74" s="2025"/>
      <c r="T74" s="2025"/>
      <c r="U74" s="2025"/>
      <c r="V74" s="2025"/>
      <c r="W74" s="2025"/>
      <c r="X74" s="2025"/>
      <c r="Y74" s="2025"/>
      <c r="Z74" s="2025"/>
      <c r="AA74" s="2025"/>
      <c r="AB74" s="2025"/>
      <c r="AC74" s="2025"/>
    </row>
    <row r="75" spans="1:29" ht="15.75" thickBot="1">
      <c r="A75" s="659"/>
      <c r="B75" s="668"/>
      <c r="C75" s="669"/>
      <c r="D75" s="669"/>
      <c r="E75" s="669"/>
      <c r="F75" s="669"/>
      <c r="G75" s="669"/>
      <c r="H75" s="669"/>
      <c r="I75" s="669"/>
      <c r="J75" s="669"/>
      <c r="K75" s="669"/>
      <c r="L75" s="669"/>
      <c r="M75" s="670"/>
      <c r="N75" s="3226"/>
      <c r="O75" s="2045"/>
      <c r="P75" s="2044"/>
      <c r="Q75" s="2037"/>
      <c r="R75" s="2025"/>
      <c r="S75" s="2025"/>
      <c r="T75" s="2025"/>
      <c r="U75" s="2025"/>
      <c r="V75" s="2025"/>
      <c r="W75" s="2025"/>
      <c r="X75" s="2025"/>
      <c r="Y75" s="2025"/>
      <c r="Z75" s="2025"/>
      <c r="AA75" s="2025"/>
      <c r="AB75" s="2025"/>
      <c r="AC75" s="2025"/>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6"/>
      <c r="O76" s="2045"/>
      <c r="P76" s="2044"/>
      <c r="Q76" s="2037"/>
      <c r="R76" s="2025"/>
      <c r="S76" s="2025"/>
      <c r="T76" s="2025"/>
      <c r="U76" s="2025"/>
      <c r="V76" s="2025"/>
      <c r="W76" s="2025"/>
      <c r="X76" s="2025"/>
      <c r="Y76" s="2025"/>
      <c r="Z76" s="2025"/>
      <c r="AA76" s="2025"/>
      <c r="AB76" s="2025"/>
      <c r="AC76" s="2025"/>
    </row>
    <row r="77" spans="1:29" ht="15">
      <c r="A77" s="659"/>
      <c r="B77" s="673"/>
      <c r="C77" s="533"/>
      <c r="D77" s="533"/>
      <c r="E77" s="533"/>
      <c r="F77" s="533"/>
      <c r="G77" s="533"/>
      <c r="H77" s="533"/>
      <c r="I77" s="533"/>
      <c r="J77" s="533"/>
      <c r="K77" s="674"/>
      <c r="L77" s="675"/>
      <c r="M77" s="676"/>
      <c r="N77" s="3225"/>
      <c r="O77" s="2043"/>
      <c r="P77" s="2044"/>
      <c r="Q77" s="2037"/>
      <c r="R77" s="2025"/>
      <c r="S77" s="2025"/>
      <c r="T77" s="2025"/>
      <c r="U77" s="2025"/>
      <c r="V77" s="2025"/>
      <c r="W77" s="2025"/>
      <c r="X77" s="2025"/>
      <c r="Y77" s="2025"/>
      <c r="Z77" s="2025"/>
      <c r="AA77" s="2025"/>
      <c r="AB77" s="2025"/>
      <c r="AC77" s="20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6"/>
      <c r="O78" s="2045"/>
      <c r="P78" s="2044"/>
      <c r="Q78" s="2037"/>
      <c r="R78" s="2025"/>
      <c r="S78" s="2025"/>
      <c r="T78" s="2025"/>
      <c r="U78" s="2025"/>
      <c r="V78" s="2025"/>
      <c r="W78" s="2025"/>
      <c r="X78" s="2025"/>
      <c r="Y78" s="2025"/>
      <c r="Z78" s="2025"/>
      <c r="AA78" s="2025"/>
      <c r="AB78" s="2025"/>
      <c r="AC78" s="2025"/>
    </row>
    <row r="79" spans="1:29" s="1291" customFormat="1" ht="15.75" thickTop="1">
      <c r="A79" s="677"/>
      <c r="B79" s="663">
        <f>B14</f>
        <v>111</v>
      </c>
      <c r="C79" s="678"/>
      <c r="D79" s="678"/>
      <c r="E79" s="678"/>
      <c r="F79" s="678"/>
      <c r="G79" s="678"/>
      <c r="H79" s="679"/>
      <c r="I79" s="679"/>
      <c r="J79" s="679"/>
      <c r="K79" s="679"/>
      <c r="L79" s="680"/>
      <c r="M79" s="681"/>
      <c r="N79" s="3227"/>
      <c r="O79" s="2046"/>
      <c r="P79" s="2047"/>
      <c r="Q79" s="2048"/>
      <c r="R79" s="2049"/>
      <c r="S79" s="2049"/>
      <c r="T79" s="2049"/>
      <c r="U79" s="2049"/>
      <c r="V79" s="2049"/>
      <c r="W79" s="2049"/>
      <c r="X79" s="2049"/>
      <c r="Y79" s="2049"/>
      <c r="Z79" s="2049"/>
      <c r="AA79" s="2049"/>
      <c r="AB79" s="2049"/>
      <c r="AC79" s="2049"/>
    </row>
    <row r="80" spans="1:29" s="1291" customFormat="1" ht="15.75" thickBot="1">
      <c r="A80" s="677"/>
      <c r="B80" s="668"/>
      <c r="C80" s="682"/>
      <c r="D80" s="661"/>
      <c r="E80" s="661"/>
      <c r="F80" s="661"/>
      <c r="G80" s="661"/>
      <c r="H80" s="661"/>
      <c r="I80" s="661"/>
      <c r="J80" s="661"/>
      <c r="K80" s="661"/>
      <c r="L80" s="661"/>
      <c r="M80" s="662"/>
      <c r="N80" s="3226"/>
      <c r="O80" s="2045"/>
      <c r="P80" s="2047"/>
      <c r="Q80" s="2048"/>
      <c r="R80" s="2049"/>
      <c r="S80" s="2049"/>
      <c r="T80" s="2049"/>
      <c r="U80" s="2049"/>
      <c r="V80" s="2049"/>
      <c r="W80" s="2049"/>
      <c r="X80" s="2049"/>
      <c r="Y80" s="2049"/>
      <c r="Z80" s="2049"/>
      <c r="AA80" s="2049"/>
      <c r="AB80" s="2049"/>
      <c r="AC80" s="2049"/>
    </row>
    <row r="81" spans="1:29" s="1291" customFormat="1" ht="15.75" thickTop="1">
      <c r="A81" s="677"/>
      <c r="B81" s="663">
        <f>B15</f>
        <v>111</v>
      </c>
      <c r="C81" s="678"/>
      <c r="D81" s="678"/>
      <c r="E81" s="678"/>
      <c r="F81" s="678"/>
      <c r="G81" s="678"/>
      <c r="H81" s="679"/>
      <c r="I81" s="679"/>
      <c r="J81" s="679"/>
      <c r="K81" s="679"/>
      <c r="L81" s="680"/>
      <c r="M81" s="681"/>
      <c r="N81" s="3227"/>
      <c r="O81" s="2046"/>
      <c r="P81" s="2050"/>
      <c r="Q81" s="2051"/>
      <c r="R81" s="2049"/>
      <c r="S81" s="2049"/>
      <c r="T81" s="2049"/>
      <c r="U81" s="2049"/>
      <c r="V81" s="2049"/>
      <c r="W81" s="2049"/>
      <c r="X81" s="2049"/>
      <c r="Y81" s="2049"/>
      <c r="Z81" s="2049"/>
      <c r="AA81" s="2049"/>
      <c r="AB81" s="2049"/>
      <c r="AC81" s="2049"/>
    </row>
    <row r="82" spans="1:29" s="1291" customFormat="1" ht="15.75" thickBot="1">
      <c r="A82" s="677"/>
      <c r="B82" s="668"/>
      <c r="C82" s="682"/>
      <c r="D82" s="682"/>
      <c r="E82" s="682"/>
      <c r="F82" s="682"/>
      <c r="G82" s="682"/>
      <c r="H82" s="683"/>
      <c r="I82" s="683"/>
      <c r="J82" s="683"/>
      <c r="K82" s="683"/>
      <c r="L82" s="683"/>
      <c r="M82" s="684"/>
      <c r="N82" s="3227"/>
      <c r="O82" s="2046"/>
      <c r="P82" s="2047"/>
      <c r="Q82" s="2048"/>
      <c r="R82" s="2049"/>
      <c r="S82" s="2049"/>
      <c r="T82" s="2049"/>
      <c r="U82" s="2049"/>
      <c r="V82" s="2049"/>
      <c r="W82" s="2049"/>
      <c r="X82" s="2049"/>
      <c r="Y82" s="2049"/>
      <c r="Z82" s="2049"/>
      <c r="AA82" s="2049"/>
      <c r="AB82" s="2049"/>
      <c r="AC82" s="2049"/>
    </row>
    <row r="83" spans="1:29" s="1291" customFormat="1" ht="15.75" thickTop="1">
      <c r="A83" s="677"/>
      <c r="B83" s="671">
        <f>B16</f>
        <v>111</v>
      </c>
      <c r="C83" s="651"/>
      <c r="D83" s="651"/>
      <c r="E83" s="651"/>
      <c r="F83" s="651"/>
      <c r="G83" s="651"/>
      <c r="H83" s="685"/>
      <c r="I83" s="685"/>
      <c r="J83" s="685"/>
      <c r="K83" s="685"/>
      <c r="L83" s="686"/>
      <c r="M83" s="687"/>
      <c r="N83" s="3227"/>
      <c r="O83" s="2046"/>
      <c r="P83" s="2052"/>
      <c r="Q83" s="2048"/>
      <c r="R83" s="2049"/>
      <c r="S83" s="2049"/>
      <c r="T83" s="2049"/>
      <c r="U83" s="2049"/>
      <c r="V83" s="2049"/>
      <c r="W83" s="2049"/>
      <c r="X83" s="2049"/>
      <c r="Y83" s="2049"/>
      <c r="Z83" s="2049"/>
      <c r="AA83" s="2049"/>
      <c r="AB83" s="2049"/>
      <c r="AC83" s="2049"/>
    </row>
    <row r="84" spans="1:29" s="1291" customFormat="1" ht="15.75" thickBot="1">
      <c r="A84" s="688"/>
      <c r="B84" s="689"/>
      <c r="C84" s="690"/>
      <c r="D84" s="690"/>
      <c r="E84" s="690"/>
      <c r="F84" s="690"/>
      <c r="G84" s="690"/>
      <c r="H84" s="691"/>
      <c r="I84" s="691"/>
      <c r="J84" s="691"/>
      <c r="K84" s="691"/>
      <c r="L84" s="691"/>
      <c r="M84" s="692"/>
      <c r="N84" s="3227"/>
      <c r="O84" s="2046"/>
      <c r="P84" s="2047"/>
      <c r="Q84" s="2048"/>
      <c r="R84" s="2049"/>
      <c r="S84" s="2049"/>
      <c r="T84" s="2049"/>
      <c r="U84" s="2049"/>
      <c r="V84" s="2049"/>
      <c r="W84" s="2049"/>
      <c r="X84" s="2049"/>
      <c r="Y84" s="2049"/>
      <c r="Z84" s="2049"/>
      <c r="AA84" s="2049"/>
      <c r="AB84" s="2049"/>
      <c r="AC84" s="2049"/>
    </row>
    <row r="85" spans="1:29">
      <c r="A85" s="654" t="s">
        <v>531</v>
      </c>
      <c r="B85" s="655" t="s">
        <v>594</v>
      </c>
      <c r="C85" s="693" t="s">
        <v>571</v>
      </c>
      <c r="D85" s="693" t="s">
        <v>572</v>
      </c>
      <c r="E85" s="693" t="s">
        <v>573</v>
      </c>
      <c r="F85" s="693" t="s">
        <v>574</v>
      </c>
      <c r="G85" s="693" t="s">
        <v>575</v>
      </c>
      <c r="H85" s="694"/>
      <c r="I85" s="694"/>
      <c r="J85" s="694"/>
      <c r="K85" s="695"/>
      <c r="L85" s="696"/>
      <c r="M85" s="697"/>
      <c r="N85" s="3225"/>
      <c r="O85" s="2043"/>
      <c r="P85" s="2053"/>
      <c r="Q85" s="2037"/>
      <c r="R85" s="2025"/>
      <c r="S85" s="2025"/>
      <c r="T85" s="2025"/>
      <c r="U85" s="2025"/>
      <c r="V85" s="2025"/>
      <c r="W85" s="2025"/>
      <c r="X85" s="2025"/>
      <c r="Y85" s="2025"/>
      <c r="Z85" s="2025"/>
      <c r="AA85" s="2025"/>
      <c r="AB85" s="2025"/>
      <c r="AC85" s="20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26"/>
      <c r="O86" s="2045"/>
      <c r="P86" s="2044"/>
      <c r="Q86" s="2037"/>
      <c r="R86" s="2025"/>
      <c r="S86" s="2025"/>
      <c r="T86" s="2025"/>
      <c r="U86" s="2025"/>
      <c r="V86" s="2025"/>
      <c r="W86" s="2025"/>
      <c r="X86" s="2025"/>
      <c r="Y86" s="2025"/>
      <c r="Z86" s="2025"/>
      <c r="AA86" s="2025"/>
      <c r="AB86" s="2025"/>
      <c r="AC86" s="2025"/>
    </row>
    <row r="87" spans="1:29" ht="15.75" thickTop="1">
      <c r="A87" s="659"/>
      <c r="B87" s="663" t="s">
        <v>578</v>
      </c>
      <c r="C87" s="698" t="s">
        <v>571</v>
      </c>
      <c r="D87" s="698" t="s">
        <v>572</v>
      </c>
      <c r="E87" s="698" t="s">
        <v>573</v>
      </c>
      <c r="F87" s="698" t="s">
        <v>574</v>
      </c>
      <c r="G87" s="698" t="s">
        <v>575</v>
      </c>
      <c r="H87" s="664"/>
      <c r="I87" s="664"/>
      <c r="J87" s="664"/>
      <c r="K87" s="665"/>
      <c r="L87" s="666"/>
      <c r="M87" s="667"/>
      <c r="N87" s="3225"/>
      <c r="O87" s="2043"/>
      <c r="P87" s="2044"/>
      <c r="Q87" s="2037"/>
      <c r="R87" s="2025"/>
      <c r="S87" s="2025"/>
      <c r="T87" s="2025"/>
      <c r="U87" s="2025"/>
      <c r="V87" s="2025"/>
      <c r="W87" s="2025"/>
      <c r="X87" s="2025"/>
      <c r="Y87" s="2025"/>
      <c r="Z87" s="2025"/>
      <c r="AA87" s="2025"/>
      <c r="AB87" s="2025"/>
      <c r="AC87" s="20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26"/>
      <c r="O88" s="2045"/>
      <c r="P88" s="2044"/>
      <c r="Q88" s="2037"/>
      <c r="R88" s="2025"/>
      <c r="S88" s="2025"/>
      <c r="T88" s="2025"/>
      <c r="U88" s="2025"/>
      <c r="V88" s="2025"/>
      <c r="W88" s="2025"/>
      <c r="X88" s="2025"/>
      <c r="Y88" s="2025"/>
      <c r="Z88" s="2025"/>
      <c r="AA88" s="2025"/>
      <c r="AB88" s="2025"/>
      <c r="AC88" s="2025"/>
    </row>
    <row r="89" spans="1:29" s="1201" customFormat="1" ht="27.75" thickTop="1">
      <c r="A89" s="699"/>
      <c r="B89" s="663" t="s">
        <v>579</v>
      </c>
      <c r="C89" s="698" t="s">
        <v>571</v>
      </c>
      <c r="D89" s="698" t="s">
        <v>572</v>
      </c>
      <c r="E89" s="698" t="s">
        <v>573</v>
      </c>
      <c r="F89" s="698" t="s">
        <v>574</v>
      </c>
      <c r="G89" s="698" t="s">
        <v>575</v>
      </c>
      <c r="H89" s="698"/>
      <c r="I89" s="698"/>
      <c r="J89" s="698"/>
      <c r="K89" s="698"/>
      <c r="L89" s="700"/>
      <c r="M89" s="701"/>
      <c r="N89" s="3224"/>
      <c r="O89" s="2041"/>
      <c r="P89" s="2044"/>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26"/>
      <c r="O90" s="2045"/>
      <c r="P90" s="2044"/>
      <c r="Q90" s="2037"/>
      <c r="R90" s="1903"/>
      <c r="S90" s="1903"/>
      <c r="T90" s="1903"/>
      <c r="U90" s="1903"/>
      <c r="V90" s="1903"/>
      <c r="W90" s="1903"/>
      <c r="X90" s="1903"/>
      <c r="Y90" s="1903"/>
      <c r="Z90" s="1903"/>
      <c r="AA90" s="1903"/>
      <c r="AB90" s="1903"/>
      <c r="AC90" s="1903"/>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24"/>
      <c r="O91" s="2041"/>
      <c r="P91" s="2044"/>
      <c r="Q91" s="2037"/>
      <c r="R91" s="1903"/>
      <c r="S91" s="1903"/>
      <c r="T91" s="1903"/>
      <c r="U91" s="1903"/>
      <c r="V91" s="1903"/>
      <c r="W91" s="1903"/>
      <c r="X91" s="1903"/>
      <c r="Y91" s="1903"/>
      <c r="Z91" s="1903"/>
      <c r="AA91" s="1903"/>
      <c r="AB91" s="1903"/>
      <c r="AC91" s="1903"/>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26"/>
      <c r="O92" s="2045"/>
      <c r="P92" s="2044"/>
      <c r="Q92" s="2037"/>
      <c r="R92" s="1903"/>
      <c r="S92" s="1903"/>
      <c r="T92" s="1903"/>
      <c r="U92" s="1903"/>
      <c r="V92" s="1903"/>
      <c r="W92" s="1903"/>
      <c r="X92" s="1903"/>
      <c r="Y92" s="1903"/>
      <c r="Z92" s="1903"/>
      <c r="AA92" s="1903"/>
      <c r="AB92" s="1903"/>
      <c r="AC92" s="1903"/>
    </row>
    <row r="93" spans="1:29" s="1291" customFormat="1" ht="15.75" thickTop="1">
      <c r="A93" s="677"/>
      <c r="B93" s="1808" t="s">
        <v>2527</v>
      </c>
      <c r="C93" s="693" t="s">
        <v>571</v>
      </c>
      <c r="D93" s="693" t="s">
        <v>572</v>
      </c>
      <c r="E93" s="693" t="s">
        <v>573</v>
      </c>
      <c r="F93" s="693" t="s">
        <v>574</v>
      </c>
      <c r="G93" s="693" t="s">
        <v>575</v>
      </c>
      <c r="H93" s="703"/>
      <c r="I93" s="703"/>
      <c r="J93" s="703"/>
      <c r="K93" s="703"/>
      <c r="L93" s="704"/>
      <c r="M93" s="705"/>
      <c r="N93" s="3227"/>
      <c r="O93" s="2046"/>
      <c r="P93" s="2047"/>
      <c r="Q93" s="2048"/>
      <c r="R93" s="2049"/>
      <c r="S93" s="2049"/>
      <c r="T93" s="2049"/>
      <c r="U93" s="2049"/>
      <c r="V93" s="2049"/>
      <c r="W93" s="2049"/>
      <c r="X93" s="2049"/>
      <c r="Y93" s="2049"/>
      <c r="Z93" s="2049"/>
      <c r="AA93" s="2049"/>
      <c r="AB93" s="2049"/>
      <c r="AC93" s="2049"/>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27"/>
      <c r="O94" s="2046"/>
      <c r="P94" s="2047"/>
      <c r="Q94" s="2048"/>
      <c r="R94" s="2049"/>
      <c r="S94" s="2049"/>
      <c r="T94" s="2049"/>
      <c r="U94" s="2049"/>
      <c r="V94" s="2049"/>
      <c r="W94" s="2049"/>
      <c r="X94" s="2049"/>
      <c r="Y94" s="2049"/>
      <c r="Z94" s="2049"/>
      <c r="AA94" s="2049"/>
      <c r="AB94" s="2049"/>
      <c r="AC94" s="2049"/>
    </row>
    <row r="95" spans="1:29" s="1291" customFormat="1" ht="15.75" thickTop="1">
      <c r="A95" s="677"/>
      <c r="B95" s="2439" t="s">
        <v>2529</v>
      </c>
      <c r="C95" s="2440" t="s">
        <v>2530</v>
      </c>
      <c r="D95" s="2440" t="s">
        <v>2531</v>
      </c>
      <c r="E95" s="2440" t="s">
        <v>2532</v>
      </c>
      <c r="F95" s="2440" t="s">
        <v>2533</v>
      </c>
      <c r="G95" s="2440" t="s">
        <v>2534</v>
      </c>
      <c r="H95" s="703"/>
      <c r="I95" s="703"/>
      <c r="J95" s="703"/>
      <c r="K95" s="703"/>
      <c r="L95" s="703"/>
      <c r="M95" s="705"/>
      <c r="N95" s="3227"/>
      <c r="O95" s="2046"/>
      <c r="P95" s="2047"/>
      <c r="Q95" s="2048"/>
      <c r="R95" s="2049"/>
      <c r="S95" s="2049"/>
      <c r="T95" s="2049"/>
      <c r="U95" s="2049"/>
      <c r="V95" s="2049"/>
      <c r="W95" s="2049"/>
      <c r="X95" s="2049"/>
      <c r="Y95" s="2049"/>
      <c r="Z95" s="2049"/>
      <c r="AA95" s="2049"/>
      <c r="AB95" s="2049"/>
      <c r="AC95" s="2049"/>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2"/>
      <c r="N96" s="3227"/>
      <c r="O96" s="2046"/>
      <c r="P96" s="2047"/>
      <c r="Q96" s="2048"/>
      <c r="R96" s="2049"/>
      <c r="S96" s="2049"/>
      <c r="T96" s="2049"/>
      <c r="U96" s="2049"/>
      <c r="V96" s="2049"/>
      <c r="W96" s="2049"/>
      <c r="X96" s="2049"/>
      <c r="Y96" s="2049"/>
      <c r="Z96" s="2049"/>
      <c r="AA96" s="2049"/>
      <c r="AB96" s="2049"/>
      <c r="AC96" s="2049"/>
    </row>
    <row r="97" spans="1:29" ht="15.75" thickTop="1">
      <c r="A97" s="659"/>
      <c r="B97" s="663" t="str">
        <f>B29</f>
        <v>临街状况</v>
      </c>
      <c r="C97" s="664" t="s">
        <v>581</v>
      </c>
      <c r="D97" s="664" t="s">
        <v>582</v>
      </c>
      <c r="E97" s="664" t="s">
        <v>583</v>
      </c>
      <c r="F97" s="664" t="s">
        <v>584</v>
      </c>
      <c r="G97" s="664"/>
      <c r="H97" s="664"/>
      <c r="I97" s="664"/>
      <c r="J97" s="664"/>
      <c r="K97" s="665"/>
      <c r="L97" s="666"/>
      <c r="M97" s="667"/>
      <c r="N97" s="3225"/>
      <c r="O97" s="2043"/>
      <c r="P97" s="2044"/>
      <c r="Q97" s="2037"/>
      <c r="R97" s="2025"/>
      <c r="S97" s="2025"/>
      <c r="T97" s="2025"/>
      <c r="U97" s="2025"/>
      <c r="V97" s="2025"/>
      <c r="W97" s="2025"/>
      <c r="X97" s="2025"/>
      <c r="Y97" s="2025"/>
      <c r="Z97" s="2025"/>
      <c r="AA97" s="2025"/>
      <c r="AB97" s="2025"/>
      <c r="AC97" s="20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6"/>
      <c r="O98" s="2045"/>
      <c r="P98" s="2044"/>
      <c r="Q98" s="2037"/>
      <c r="R98" s="2025"/>
      <c r="S98" s="2025"/>
      <c r="T98" s="2025"/>
      <c r="U98" s="2025"/>
      <c r="V98" s="2025"/>
      <c r="W98" s="2025"/>
      <c r="X98" s="2025"/>
      <c r="Y98" s="2025"/>
      <c r="Z98" s="2025"/>
      <c r="AA98" s="2025"/>
      <c r="AB98" s="2025"/>
      <c r="AC98" s="2025"/>
    </row>
    <row r="99" spans="1:29" ht="27.75" thickTop="1">
      <c r="A99" s="659"/>
      <c r="B99" s="663" t="s">
        <v>540</v>
      </c>
      <c r="C99" s="678"/>
      <c r="D99" s="678"/>
      <c r="E99" s="678"/>
      <c r="F99" s="678"/>
      <c r="G99" s="678"/>
      <c r="H99" s="708"/>
      <c r="I99" s="708"/>
      <c r="J99" s="708"/>
      <c r="K99" s="709"/>
      <c r="L99" s="710"/>
      <c r="M99" s="711"/>
      <c r="N99" s="3225"/>
      <c r="O99" s="2043"/>
      <c r="P99" s="2044"/>
      <c r="Q99" s="2037"/>
      <c r="R99" s="2025"/>
      <c r="S99" s="2025"/>
      <c r="T99" s="2025"/>
      <c r="U99" s="2025"/>
      <c r="V99" s="2025"/>
      <c r="W99" s="2025"/>
      <c r="X99" s="2025"/>
      <c r="Y99" s="2025"/>
      <c r="Z99" s="2025"/>
      <c r="AA99" s="2025"/>
      <c r="AB99" s="2025"/>
      <c r="AC99" s="20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6"/>
      <c r="O100" s="2045"/>
      <c r="P100" s="2044"/>
      <c r="Q100" s="2037"/>
      <c r="R100" s="2025"/>
      <c r="S100" s="2025"/>
      <c r="T100" s="2025"/>
      <c r="U100" s="2025"/>
      <c r="V100" s="2025"/>
      <c r="W100" s="2025"/>
      <c r="X100" s="2025"/>
      <c r="Y100" s="2025"/>
      <c r="Z100" s="2025"/>
      <c r="AA100" s="2025"/>
      <c r="AB100" s="2025"/>
      <c r="AC100" s="2025"/>
    </row>
    <row r="101" spans="1:29" ht="15.75" thickTop="1">
      <c r="A101" s="659"/>
      <c r="B101" s="663" t="s">
        <v>541</v>
      </c>
      <c r="C101" s="708"/>
      <c r="D101" s="708"/>
      <c r="E101" s="708"/>
      <c r="F101" s="708"/>
      <c r="G101" s="708"/>
      <c r="H101" s="708"/>
      <c r="I101" s="708"/>
      <c r="J101" s="708"/>
      <c r="K101" s="709"/>
      <c r="L101" s="710"/>
      <c r="M101" s="711"/>
      <c r="N101" s="3225"/>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6"/>
      <c r="O102" s="2045"/>
      <c r="P102" s="2044"/>
      <c r="Q102" s="2037"/>
      <c r="R102" s="2025"/>
      <c r="S102" s="2025"/>
      <c r="T102" s="2025"/>
      <c r="U102" s="2025"/>
      <c r="V102" s="2025"/>
      <c r="W102" s="2025"/>
      <c r="X102" s="2025"/>
      <c r="Y102" s="2025"/>
      <c r="Z102" s="2025"/>
      <c r="AA102" s="2025"/>
      <c r="AB102" s="2025"/>
      <c r="AC102" s="2025"/>
    </row>
    <row r="103" spans="1:29" ht="15.75" thickTop="1">
      <c r="A103" s="659"/>
      <c r="B103" s="671">
        <f>B33</f>
        <v>111</v>
      </c>
      <c r="C103" s="678"/>
      <c r="D103" s="678"/>
      <c r="E103" s="678"/>
      <c r="F103" s="678"/>
      <c r="G103" s="712"/>
      <c r="H103" s="712"/>
      <c r="I103" s="712"/>
      <c r="J103" s="712"/>
      <c r="K103" s="713"/>
      <c r="L103" s="714"/>
      <c r="M103" s="715"/>
      <c r="N103" s="3225"/>
      <c r="O103" s="2043"/>
      <c r="P103" s="2044"/>
      <c r="Q103" s="2037"/>
      <c r="R103" s="2025"/>
      <c r="S103" s="2025"/>
      <c r="T103" s="2025"/>
      <c r="U103" s="2025"/>
      <c r="V103" s="2025"/>
      <c r="W103" s="2025"/>
      <c r="X103" s="2025"/>
      <c r="Y103" s="2025"/>
      <c r="Z103" s="2025"/>
      <c r="AA103" s="2025"/>
      <c r="AB103" s="2025"/>
      <c r="AC103" s="2025"/>
    </row>
    <row r="104" spans="1:29" ht="15.75" thickBot="1">
      <c r="A104" s="659"/>
      <c r="B104" s="689"/>
      <c r="C104" s="682"/>
      <c r="D104" s="661"/>
      <c r="E104" s="661"/>
      <c r="F104" s="661"/>
      <c r="G104" s="716"/>
      <c r="H104" s="716"/>
      <c r="I104" s="716"/>
      <c r="J104" s="716"/>
      <c r="K104" s="716"/>
      <c r="L104" s="716"/>
      <c r="M104" s="717"/>
      <c r="N104" s="3226"/>
      <c r="O104" s="2045"/>
      <c r="P104" s="2044"/>
      <c r="Q104" s="2037"/>
      <c r="R104" s="2025"/>
      <c r="S104" s="2025"/>
      <c r="T104" s="2025"/>
      <c r="U104" s="2025"/>
      <c r="V104" s="2025"/>
      <c r="W104" s="2025"/>
      <c r="X104" s="2025"/>
      <c r="Y104" s="2025"/>
      <c r="Z104" s="2025"/>
      <c r="AA104" s="2025"/>
      <c r="AB104" s="2025"/>
      <c r="AC104" s="2025"/>
    </row>
    <row r="105" spans="1:29" ht="15" thickTop="1">
      <c r="A105" s="579"/>
      <c r="B105" s="663">
        <f>B34</f>
        <v>111</v>
      </c>
      <c r="C105" s="678"/>
      <c r="D105" s="678"/>
      <c r="E105" s="678"/>
      <c r="F105" s="678"/>
      <c r="G105" s="708"/>
      <c r="H105" s="708"/>
      <c r="I105" s="708"/>
      <c r="J105" s="708"/>
      <c r="K105" s="709"/>
      <c r="L105" s="710"/>
      <c r="M105" s="711"/>
      <c r="N105" s="3225"/>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82"/>
      <c r="D106" s="682"/>
      <c r="E106" s="682"/>
      <c r="F106" s="682"/>
      <c r="G106" s="661"/>
      <c r="H106" s="661"/>
      <c r="I106" s="661"/>
      <c r="J106" s="661"/>
      <c r="K106" s="661"/>
      <c r="L106" s="661"/>
      <c r="M106" s="662"/>
      <c r="N106" s="3226"/>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8"/>
      <c r="B107" s="719">
        <f>B35</f>
        <v>111</v>
      </c>
      <c r="C107" s="651"/>
      <c r="D107" s="651"/>
      <c r="E107" s="651"/>
      <c r="F107" s="651"/>
      <c r="G107" s="720"/>
      <c r="H107" s="720"/>
      <c r="I107" s="720"/>
      <c r="J107" s="721"/>
      <c r="K107" s="721"/>
      <c r="L107" s="722"/>
      <c r="M107" s="723"/>
      <c r="N107" s="3227"/>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7"/>
      <c r="B108" s="671"/>
      <c r="C108" s="690"/>
      <c r="D108" s="690"/>
      <c r="E108" s="690"/>
      <c r="F108" s="690"/>
      <c r="G108" s="584"/>
      <c r="H108" s="584"/>
      <c r="I108" s="584"/>
      <c r="J108" s="584"/>
      <c r="K108" s="584"/>
      <c r="L108" s="584"/>
      <c r="M108" s="724"/>
      <c r="N108" s="3226"/>
      <c r="O108" s="2045"/>
      <c r="P108" s="2047"/>
      <c r="Q108" s="2048"/>
      <c r="R108" s="2049"/>
      <c r="S108" s="2049"/>
      <c r="T108" s="2049"/>
      <c r="U108" s="2049"/>
      <c r="V108" s="2049"/>
      <c r="W108" s="2049"/>
      <c r="X108" s="2049"/>
      <c r="Y108" s="2049"/>
      <c r="Z108" s="2049"/>
      <c r="AA108" s="2049"/>
      <c r="AB108" s="2049"/>
      <c r="AC108" s="2049"/>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8" t="str">
        <f t="shared" si="25"/>
        <v>(含)-</v>
      </c>
      <c r="L109" s="2779" t="str">
        <f t="shared" si="25"/>
        <v>(含)-</v>
      </c>
      <c r="M109" s="2780" t="str">
        <f>M110&amp;"(含)"&amp;"-"&amp;P110</f>
        <v>(含)-</v>
      </c>
      <c r="N109" s="3225"/>
      <c r="O109" s="2043"/>
      <c r="P109" s="2044"/>
      <c r="Q109" s="2037"/>
      <c r="R109" s="2025"/>
      <c r="S109" s="2025"/>
      <c r="T109" s="2025"/>
      <c r="U109" s="2025"/>
      <c r="V109" s="2025"/>
      <c r="W109" s="2025"/>
      <c r="X109" s="2025"/>
      <c r="Y109" s="2025"/>
      <c r="Z109" s="2025"/>
      <c r="AA109" s="2025"/>
      <c r="AB109" s="2025"/>
      <c r="AC109" s="2025"/>
    </row>
    <row r="110" spans="1:29" ht="15">
      <c r="A110" s="659"/>
      <c r="B110" s="671"/>
      <c r="C110" s="720"/>
      <c r="D110" s="720"/>
      <c r="E110" s="720"/>
      <c r="F110" s="720"/>
      <c r="G110" s="720"/>
      <c r="H110" s="720"/>
      <c r="I110" s="720"/>
      <c r="J110" s="721"/>
      <c r="K110" s="721"/>
      <c r="L110" s="722"/>
      <c r="M110" s="723"/>
      <c r="N110" s="3225"/>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90"/>
      <c r="D111" s="716"/>
      <c r="E111" s="716"/>
      <c r="F111" s="716"/>
      <c r="G111" s="716"/>
      <c r="H111" s="716"/>
      <c r="I111" s="716"/>
      <c r="J111" s="716"/>
      <c r="K111" s="716"/>
      <c r="L111" s="716"/>
      <c r="M111" s="717"/>
      <c r="N111" s="3226"/>
      <c r="O111" s="2045"/>
      <c r="P111" s="2044"/>
      <c r="Q111" s="2037"/>
      <c r="R111" s="2025"/>
      <c r="S111" s="2025"/>
      <c r="T111" s="2025"/>
      <c r="U111" s="2025"/>
      <c r="V111" s="2025"/>
      <c r="W111" s="2025"/>
      <c r="X111" s="2025"/>
      <c r="Y111" s="2025"/>
      <c r="Z111" s="2025"/>
      <c r="AA111" s="2025"/>
      <c r="AB111" s="2025"/>
      <c r="AC111" s="2025"/>
    </row>
    <row r="112" spans="1:29" ht="15" thickTop="1">
      <c r="A112" s="725"/>
      <c r="B112" s="663" t="s">
        <v>586</v>
      </c>
      <c r="C112" s="708"/>
      <c r="D112" s="708"/>
      <c r="E112" s="708"/>
      <c r="F112" s="708"/>
      <c r="G112" s="708"/>
      <c r="H112" s="708"/>
      <c r="I112" s="708"/>
      <c r="J112" s="708"/>
      <c r="K112" s="709"/>
      <c r="L112" s="710"/>
      <c r="M112" s="711"/>
      <c r="N112" s="3225"/>
      <c r="O112" s="2043"/>
      <c r="P112" s="2044"/>
      <c r="Q112" s="2037"/>
      <c r="R112" s="2025"/>
      <c r="S112" s="2025"/>
      <c r="T112" s="2025"/>
      <c r="U112" s="2025"/>
      <c r="V112" s="2025"/>
      <c r="W112" s="2025"/>
      <c r="X112" s="2025"/>
      <c r="Y112" s="2025"/>
      <c r="Z112" s="2025"/>
      <c r="AA112" s="2025"/>
      <c r="AB112" s="2025"/>
      <c r="AC112" s="20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6"/>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8"/>
      <c r="B114" s="1808" t="s">
        <v>2407</v>
      </c>
      <c r="C114" s="1325"/>
      <c r="D114" s="1325"/>
      <c r="E114" s="1325"/>
      <c r="F114" s="1325"/>
      <c r="G114" s="1325"/>
      <c r="H114" s="708"/>
      <c r="I114" s="708"/>
      <c r="J114" s="708"/>
      <c r="K114" s="709"/>
      <c r="L114" s="710"/>
      <c r="M114" s="711"/>
      <c r="N114" s="3227"/>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7"/>
      <c r="O115" s="2046"/>
      <c r="P115" s="2047"/>
      <c r="Q115" s="2048"/>
      <c r="R115" s="2049"/>
      <c r="S115" s="2049"/>
      <c r="T115" s="2049"/>
      <c r="U115" s="2049"/>
      <c r="V115" s="2049"/>
      <c r="W115" s="2049"/>
      <c r="X115" s="2049"/>
      <c r="Y115" s="2049"/>
      <c r="Z115" s="2049"/>
      <c r="AA115" s="2049"/>
      <c r="AB115" s="2049"/>
      <c r="AC115" s="2049"/>
    </row>
    <row r="116" spans="1:29" ht="15" thickTop="1">
      <c r="A116" s="725"/>
      <c r="B116" s="663" t="s">
        <v>588</v>
      </c>
      <c r="C116" s="678"/>
      <c r="D116" s="678"/>
      <c r="E116" s="708"/>
      <c r="F116" s="708"/>
      <c r="G116" s="708"/>
      <c r="H116" s="708"/>
      <c r="I116" s="708"/>
      <c r="J116" s="708"/>
      <c r="K116" s="709"/>
      <c r="L116" s="710"/>
      <c r="M116" s="711"/>
      <c r="N116" s="3225"/>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6"/>
      <c r="O117" s="2045"/>
      <c r="P117" s="2044"/>
      <c r="Q117" s="2037"/>
      <c r="R117" s="2025"/>
      <c r="S117" s="2025"/>
      <c r="T117" s="2025"/>
      <c r="U117" s="2025"/>
      <c r="V117" s="2025"/>
      <c r="W117" s="2025"/>
      <c r="X117" s="2025"/>
      <c r="Y117" s="2025"/>
      <c r="Z117" s="2025"/>
      <c r="AA117" s="2025"/>
      <c r="AB117" s="2025"/>
      <c r="AC117" s="2025"/>
    </row>
    <row r="118" spans="1:29" ht="15" thickTop="1">
      <c r="A118" s="725"/>
      <c r="B118" s="663">
        <f>B40</f>
        <v>111</v>
      </c>
      <c r="C118" s="678"/>
      <c r="D118" s="678"/>
      <c r="E118" s="678"/>
      <c r="F118" s="678"/>
      <c r="G118" s="678"/>
      <c r="H118" s="708"/>
      <c r="I118" s="708"/>
      <c r="J118" s="708"/>
      <c r="K118" s="709"/>
      <c r="L118" s="710"/>
      <c r="M118" s="711"/>
      <c r="N118" s="3225"/>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3226"/>
      <c r="O119" s="2045"/>
      <c r="P119" s="2044"/>
      <c r="Q119" s="2037"/>
      <c r="R119" s="2025"/>
      <c r="S119" s="2025"/>
      <c r="T119" s="2025"/>
      <c r="U119" s="2025"/>
      <c r="V119" s="2025"/>
      <c r="W119" s="2025"/>
      <c r="X119" s="2025"/>
      <c r="Y119" s="2025"/>
      <c r="Z119" s="2025"/>
      <c r="AA119" s="2025"/>
      <c r="AB119" s="2025"/>
      <c r="AC119" s="2025"/>
    </row>
    <row r="120" spans="1:29" ht="15" thickTop="1">
      <c r="A120" s="725"/>
      <c r="B120" s="663">
        <f>B41</f>
        <v>111</v>
      </c>
      <c r="C120" s="678"/>
      <c r="D120" s="678"/>
      <c r="E120" s="678"/>
      <c r="F120" s="678"/>
      <c r="G120" s="708"/>
      <c r="H120" s="708"/>
      <c r="I120" s="708"/>
      <c r="J120" s="708"/>
      <c r="K120" s="709"/>
      <c r="L120" s="710"/>
      <c r="M120" s="711"/>
      <c r="N120" s="3225"/>
      <c r="O120" s="2043"/>
      <c r="P120" s="2044"/>
      <c r="Q120" s="2037"/>
      <c r="R120" s="2025"/>
      <c r="S120" s="2025"/>
      <c r="T120" s="2025"/>
      <c r="U120" s="2025"/>
      <c r="V120" s="2025"/>
      <c r="W120" s="2025"/>
      <c r="X120" s="2025"/>
      <c r="Y120" s="2025"/>
      <c r="Z120" s="2025"/>
      <c r="AA120" s="2025"/>
      <c r="AB120" s="2025"/>
      <c r="AC120" s="2025"/>
    </row>
    <row r="121" spans="1:29" ht="15.75" thickBot="1">
      <c r="A121" s="659"/>
      <c r="B121" s="668"/>
      <c r="C121" s="682"/>
      <c r="D121" s="682"/>
      <c r="E121" s="682"/>
      <c r="F121" s="682"/>
      <c r="G121" s="661"/>
      <c r="H121" s="661"/>
      <c r="I121" s="661"/>
      <c r="J121" s="661"/>
      <c r="K121" s="661"/>
      <c r="L121" s="661"/>
      <c r="M121" s="662"/>
      <c r="N121" s="3226"/>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8"/>
      <c r="B122" s="663">
        <f>B42</f>
        <v>111</v>
      </c>
      <c r="C122" s="651"/>
      <c r="D122" s="651"/>
      <c r="E122" s="651"/>
      <c r="F122" s="651"/>
      <c r="G122" s="679"/>
      <c r="H122" s="679"/>
      <c r="I122" s="679"/>
      <c r="J122" s="679"/>
      <c r="K122" s="679"/>
      <c r="L122" s="680"/>
      <c r="M122" s="681"/>
      <c r="N122" s="3227"/>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8"/>
      <c r="B123" s="726"/>
      <c r="C123" s="690"/>
      <c r="D123" s="690"/>
      <c r="E123" s="690"/>
      <c r="F123" s="690"/>
      <c r="G123" s="716"/>
      <c r="H123" s="716"/>
      <c r="I123" s="716"/>
      <c r="J123" s="716"/>
      <c r="K123" s="716"/>
      <c r="L123" s="716"/>
      <c r="M123" s="717"/>
      <c r="N123" s="3227"/>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6" priority="18" stopIfTrue="1" operator="containsText" text="超过">
      <formula>NOT(ISERROR(SEARCH("超过",F48)))</formula>
    </cfRule>
  </conditionalFormatting>
  <conditionalFormatting sqref="J50">
    <cfRule type="containsText" dxfId="165" priority="17" stopIfTrue="1" operator="containsText" text="超过">
      <formula>NOT(ISERROR(SEARCH("超过",J50)))</formula>
    </cfRule>
  </conditionalFormatting>
  <conditionalFormatting sqref="H50">
    <cfRule type="containsText" dxfId="164" priority="16" stopIfTrue="1" operator="containsText" text="超过">
      <formula>NOT(ISERROR(SEARCH("超过",H50)))</formula>
    </cfRule>
  </conditionalFormatting>
  <conditionalFormatting sqref="F50">
    <cfRule type="containsText" dxfId="163" priority="15" stopIfTrue="1" operator="containsText" text="超过">
      <formula>NOT(ISERROR(SEARCH("超过",F50)))</formula>
    </cfRule>
  </conditionalFormatting>
  <conditionalFormatting sqref="F49 H49 J49">
    <cfRule type="containsText" dxfId="162" priority="14" stopIfTrue="1" operator="containsText" text="超过">
      <formula>NOT(ISERROR(SEARCH("超过",F49)))</formula>
    </cfRule>
  </conditionalFormatting>
  <conditionalFormatting sqref="E48">
    <cfRule type="expression" dxfId="161" priority="13" stopIfTrue="1">
      <formula>$F$48="超过30%"</formula>
    </cfRule>
  </conditionalFormatting>
  <conditionalFormatting sqref="G50">
    <cfRule type="expression" dxfId="160" priority="12" stopIfTrue="1">
      <formula>$H$50="超过30%"</formula>
    </cfRule>
  </conditionalFormatting>
  <conditionalFormatting sqref="E50">
    <cfRule type="expression" dxfId="159" priority="10" stopIfTrue="1">
      <formula>$F$50="超过30%"</formula>
    </cfRule>
  </conditionalFormatting>
  <conditionalFormatting sqref="G48">
    <cfRule type="expression" dxfId="158" priority="9" stopIfTrue="1">
      <formula>$H$48="超过30%"</formula>
    </cfRule>
  </conditionalFormatting>
  <conditionalFormatting sqref="G49">
    <cfRule type="expression" dxfId="157" priority="8" stopIfTrue="1">
      <formula>$H$49="超过20%"</formula>
    </cfRule>
  </conditionalFormatting>
  <conditionalFormatting sqref="I48">
    <cfRule type="expression" dxfId="156" priority="7" stopIfTrue="1">
      <formula>$J$48="超过30%"</formula>
    </cfRule>
  </conditionalFormatting>
  <conditionalFormatting sqref="I49">
    <cfRule type="expression" dxfId="155" priority="6" stopIfTrue="1">
      <formula>$J$49="超过20%"</formula>
    </cfRule>
  </conditionalFormatting>
  <conditionalFormatting sqref="I50">
    <cfRule type="expression" dxfId="154" priority="5" stopIfTrue="1">
      <formula>$J$50="超过30%"</formula>
    </cfRule>
  </conditionalFormatting>
  <conditionalFormatting sqref="E49">
    <cfRule type="expression" dxfId="153" priority="51" stopIfTrue="1">
      <formula>#REF!+$F$49="超过20%"</formula>
    </cfRule>
  </conditionalFormatting>
  <conditionalFormatting sqref="F44">
    <cfRule type="expression" dxfId="152" priority="4">
      <formula>$D$44="简单平均"</formula>
    </cfRule>
  </conditionalFormatting>
  <conditionalFormatting sqref="H44">
    <cfRule type="expression" dxfId="151" priority="3">
      <formula>$D$44="简单平均"</formula>
    </cfRule>
  </conditionalFormatting>
  <conditionalFormatting sqref="J44">
    <cfRule type="expression" dxfId="150" priority="2">
      <formula>$D$44="简单平均"</formula>
    </cfRule>
  </conditionalFormatting>
  <conditionalFormatting sqref="F9:F42 H9:H42 J9:J42">
    <cfRule type="cellIs" dxfId="14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2740</v>
      </c>
      <c r="T1" s="2651" t="s">
        <v>2761</v>
      </c>
      <c r="U1" s="2651" t="s">
        <v>2762</v>
      </c>
      <c r="V1" s="2651" t="s">
        <v>2763</v>
      </c>
      <c r="W1" s="2068"/>
      <c r="X1" s="2068"/>
      <c r="Y1" s="2068"/>
      <c r="Z1" s="2068"/>
      <c r="AA1" s="2068"/>
      <c r="AB1" s="2068"/>
      <c r="AC1" s="2069"/>
    </row>
    <row r="2" spans="1:39" ht="15.75">
      <c r="A2" s="1353" t="s">
        <v>909</v>
      </c>
      <c r="B2" s="1023">
        <f ca="1">C26</f>
        <v>0</v>
      </c>
      <c r="C2" s="1354" t="s">
        <v>910</v>
      </c>
      <c r="D2" s="1355" t="s">
        <v>911</v>
      </c>
      <c r="E2" s="1356" t="s">
        <v>912</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0</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3061</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0</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0</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9350</v>
      </c>
      <c r="D5" s="2791">
        <f>ROUND(C6+C16,0)</f>
        <v>9350</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0</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SUMIF(L1:L12,基准地价住宅!G2,M1:M12)</f>
        <v>9350</v>
      </c>
      <c r="D6" s="1370" t="s">
        <v>1683</v>
      </c>
      <c r="E6" s="1371"/>
      <c r="F6" s="1371"/>
      <c r="G6" s="1372"/>
      <c r="H6" s="1372"/>
      <c r="I6" s="1372"/>
      <c r="J6" s="1373"/>
      <c r="K6" s="3231"/>
      <c r="L6" s="1797" t="s">
        <v>2229</v>
      </c>
      <c r="M6" s="1798">
        <f>SUMPRODUCT((区片价!B110:B157=I2)*(区片价!C3:F3=E2)*(区片价!C110:F157))</f>
        <v>9350</v>
      </c>
      <c r="N6" s="1799">
        <f>SUMPRODUCT((因素修正幅度!B110:B157=I2)*(因素修正幅度!C3:F3=E2)*(因素修正幅度!C110:F157))</f>
        <v>0.11</v>
      </c>
      <c r="O6" s="3231"/>
      <c r="P6" s="3234"/>
      <c r="Q6" s="2068"/>
      <c r="R6" s="2652">
        <v>5</v>
      </c>
      <c r="S6" s="2652">
        <f>ROUND(IF(G3&gt;1,IF(R6&lt;7,SUMPRODUCT((B93:B98=R6)*(C92:N92=G2)*(C93:N98)),SUMIF(C92:N92,G2,C100:N100)),IF(R6&lt;7,SUMPRODUCT((B102:B107=R6)*(C92:N92=G2)*(C102:N107)),SUMIF(C92:N92,G2,C109:N109))),4)</f>
        <v>0.73709999999999998</v>
      </c>
      <c r="T6" s="2652">
        <f t="shared" ca="1" si="0"/>
        <v>0</v>
      </c>
      <c r="U6" s="2641"/>
      <c r="V6" s="2652">
        <f t="shared" ca="1" si="1"/>
        <v>0</v>
      </c>
      <c r="W6" s="2068"/>
      <c r="X6" s="2068"/>
      <c r="Y6" s="2068"/>
      <c r="Z6" s="2068"/>
      <c r="AA6" s="2068"/>
      <c r="AB6" s="2068"/>
      <c r="AC6" s="2070"/>
      <c r="AD6" s="1366"/>
      <c r="AE6" s="1366"/>
      <c r="AF6" s="1366"/>
      <c r="AG6" s="1366"/>
      <c r="AH6" s="1366"/>
      <c r="AI6" s="1366"/>
      <c r="AJ6" s="1367"/>
    </row>
    <row r="7" spans="1:39" ht="24">
      <c r="A7" s="3642" t="str">
        <f>IF(E2="商业",IF(C8="不临58条商业街","",2),"")</f>
        <v/>
      </c>
      <c r="B7" s="1374" t="s">
        <v>921</v>
      </c>
      <c r="C7" s="1028" t="e">
        <f>IF(C8="不临58条商业街",1,ROUND(1+(1.6*E8+1.2*E9+0.8*E10+0.4*E11)*C9,4))</f>
        <v>#DIV/0!</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0</v>
      </c>
      <c r="U7" s="2641"/>
      <c r="V7" s="2652">
        <f t="shared" ca="1" si="1"/>
        <v>0</v>
      </c>
      <c r="W7" s="2650" t="s">
        <v>2742</v>
      </c>
      <c r="X7" s="2642" t="str">
        <f>G2</f>
        <v>六级</v>
      </c>
      <c r="Y7" s="2642" t="s">
        <v>2743</v>
      </c>
      <c r="Z7" s="2643">
        <f>G3</f>
        <v>2.8</v>
      </c>
      <c r="AA7" s="2071"/>
      <c r="AB7" s="2071"/>
      <c r="AC7" s="2072"/>
      <c r="AD7" s="2644"/>
      <c r="AE7" s="2644"/>
      <c r="AF7" s="2644"/>
      <c r="AG7" s="2644"/>
      <c r="AH7" s="2644"/>
      <c r="AI7" s="2644"/>
      <c r="AJ7" s="2645"/>
    </row>
    <row r="8" spans="1:39" ht="15">
      <c r="A8" s="3643"/>
      <c r="B8" s="1361" t="s">
        <v>923</v>
      </c>
      <c r="C8" s="1467"/>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29" t="s">
        <v>2760</v>
      </c>
      <c r="X8" s="3630"/>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43"/>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28"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43"/>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28"/>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43"/>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28"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42"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28"/>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44"/>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28"/>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44"/>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45"/>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42" t="s">
        <v>1826</v>
      </c>
      <c r="B16" s="1374" t="s">
        <v>939</v>
      </c>
      <c r="C16" s="1037">
        <f>ROUND(IF(F17="与级别开发程度一致",0,(G17-E17)/C17),0)</f>
        <v>0</v>
      </c>
      <c r="D16" s="3636" t="s">
        <v>943</v>
      </c>
      <c r="E16" s="3637"/>
      <c r="F16" s="3636" t="s">
        <v>940</v>
      </c>
      <c r="G16" s="3637"/>
      <c r="H16" s="1406"/>
      <c r="I16" s="1406"/>
      <c r="J16" s="1406"/>
      <c r="K16" s="1406"/>
      <c r="L16" s="1406"/>
      <c r="M16" s="1406"/>
      <c r="N16" s="1406"/>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46"/>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3063</v>
      </c>
      <c r="G17" s="2844">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1817</v>
      </c>
      <c r="B18" s="2847" t="s">
        <v>944</v>
      </c>
      <c r="C18" s="2848">
        <f>SUMIF(修正!C18:C39,E3,修正!E18:E39)</f>
        <v>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1823</v>
      </c>
      <c r="B19" s="1409" t="s">
        <v>945</v>
      </c>
      <c r="C19" s="1038">
        <f>ROUND(IF(H19="按公示增长率计算",SUMPRODUCT((地价!A3:A34=YEAR(G19)&amp;"-"&amp;ROUNDUP(MONTH(G19)/3,0))*(地价!X2:AB2=E2)*(地价!X3:AB34)),IF(H19="地价指数",M20/M19,(1+I19)^O19)),4)</f>
        <v>0</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423</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1824</v>
      </c>
      <c r="B20" s="2496" t="s">
        <v>960</v>
      </c>
      <c r="C20" s="2497">
        <f ca="1">ROUND(POWER(1+G20,J20-I20)*(POWER(1+G20,I20)-1)/(POWER(1+G20,J20)-1),4)</f>
        <v>1</v>
      </c>
      <c r="D20" s="2498" t="s">
        <v>961</v>
      </c>
      <c r="E20" s="2781">
        <f ca="1">存贷款利率!I4/100</f>
        <v>4.3499999999999997E-2</v>
      </c>
      <c r="F20" s="2498" t="s">
        <v>962</v>
      </c>
      <c r="G20" s="2499">
        <f ca="1">SUMIF(M26:P26,E2,M28:P28)</f>
        <v>0.05</v>
      </c>
      <c r="H20" s="2498" t="s">
        <v>963</v>
      </c>
      <c r="I20" s="2494">
        <f>SUMIF('数据-取费表'!C6:C15,E2,'数据-取费表'!F6:F15)/COUNTIF('数据-取费表'!C6:C15,E2)</f>
        <v>70</v>
      </c>
      <c r="J20" s="2500">
        <f>IF(E2="住宅",70,IF(E2="商业",40,50))</f>
        <v>70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0.97060000000000002</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0.97060000000000002</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0.97060000000000002</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0.97060000000000002</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0</v>
      </c>
      <c r="D26" s="1428"/>
      <c r="E26" s="1403"/>
      <c r="F26" s="1429"/>
      <c r="G26" s="1403"/>
      <c r="H26" s="1403"/>
      <c r="I26" s="1403"/>
      <c r="J26" s="1430"/>
      <c r="K26" s="3231"/>
      <c r="L26" s="1527" t="s">
        <v>887</v>
      </c>
      <c r="M26" s="1375" t="s">
        <v>972</v>
      </c>
      <c r="N26" s="1375" t="s">
        <v>973</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0</v>
      </c>
      <c r="D29" s="1442"/>
      <c r="E29" s="1761">
        <f ca="1">ROUND(C29*D29/10000,0)</f>
        <v>0</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0</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38"/>
      <c r="B33" s="1462" t="s">
        <v>988</v>
      </c>
      <c r="C33" s="1044">
        <f ca="1">ROUND(D5*C19*C20*C24*F33,0)</f>
        <v>0</v>
      </c>
      <c r="D33" s="1475"/>
      <c r="E33" s="1033">
        <f ca="1">ROUND(C33*D33/10000,0)</f>
        <v>0</v>
      </c>
      <c r="F33" s="1033">
        <f>SUMIF(修正!A45:A56,G2,修正!B45:B56)</f>
        <v>0.7</v>
      </c>
      <c r="G33" s="1033">
        <f t="shared" ref="G33" ca="1" si="6">ROUND(IF(E2="工业",C33*$M$39,C33*$M$38),0)</f>
        <v>0</v>
      </c>
      <c r="H33" s="1033">
        <f>D33</f>
        <v>0</v>
      </c>
      <c r="I33" s="1033">
        <f ca="1">ROUND(G33*H33/10000,0)</f>
        <v>0</v>
      </c>
      <c r="J33" s="3638"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39"/>
      <c r="B34" s="1392" t="s">
        <v>989</v>
      </c>
      <c r="C34" s="1044">
        <f ca="1">ROUND(D5*C19*C20*C24*F34,0)</f>
        <v>0</v>
      </c>
      <c r="D34" s="1475"/>
      <c r="E34" s="1033">
        <f t="shared" ref="E34:E39" ca="1" si="7">ROUND(C34*D34/10000,0)</f>
        <v>0</v>
      </c>
      <c r="F34" s="1033">
        <f>SUMIF(修正!A45:A56,G2,修正!C45:C56)</f>
        <v>0.4</v>
      </c>
      <c r="G34" s="1033">
        <f ca="1">ROUND(IF(E2="工业",C34*$M$39,C34*$M$38),0)</f>
        <v>0</v>
      </c>
      <c r="H34" s="1033">
        <f t="shared" ref="H34:H39" si="8">D34</f>
        <v>0</v>
      </c>
      <c r="I34" s="1033">
        <f t="shared" ref="I34:I39" ca="1" si="9">ROUND(G34*H34/10000,0)</f>
        <v>0</v>
      </c>
      <c r="J34" s="3639"/>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39"/>
      <c r="B35" s="1392" t="s">
        <v>990</v>
      </c>
      <c r="C35" s="1044">
        <f ca="1">ROUND(D5*C19*C20*C24*F35,0)</f>
        <v>0</v>
      </c>
      <c r="D35" s="1475"/>
      <c r="E35" s="1033">
        <f t="shared" ca="1" si="7"/>
        <v>0</v>
      </c>
      <c r="F35" s="1033">
        <f>SUMIF(修正!A45:A56,G2,修正!D45:D56)</f>
        <v>0.28000000000000003</v>
      </c>
      <c r="G35" s="1033">
        <f ca="1">ROUND(IF(E2="工业",C35*$M$39,C35*$M$38),0)</f>
        <v>0</v>
      </c>
      <c r="H35" s="1033">
        <f t="shared" si="8"/>
        <v>0</v>
      </c>
      <c r="I35" s="1033">
        <f t="shared" ca="1" si="9"/>
        <v>0</v>
      </c>
      <c r="J35" s="3639"/>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40"/>
      <c r="B36" s="1392" t="s">
        <v>991</v>
      </c>
      <c r="C36" s="1044">
        <f ca="1">ROUND(D5*C19*C20*C24*F36,0)</f>
        <v>0</v>
      </c>
      <c r="D36" s="1475"/>
      <c r="E36" s="1033">
        <f t="shared" ca="1" si="7"/>
        <v>0</v>
      </c>
      <c r="F36" s="1033">
        <f>SUMIF(修正!A45:A56,G2,修正!E45:E56)</f>
        <v>0.25</v>
      </c>
      <c r="G36" s="1033">
        <f ca="1">ROUND(IF(E2="工业",C36*$M$39,C36*$M$38),0)</f>
        <v>0</v>
      </c>
      <c r="H36" s="1033">
        <f t="shared" si="8"/>
        <v>0</v>
      </c>
      <c r="I36" s="1033">
        <f t="shared" ca="1" si="9"/>
        <v>0</v>
      </c>
      <c r="J36" s="3640"/>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0</v>
      </c>
      <c r="D37" s="1475"/>
      <c r="E37" s="1033">
        <f t="shared" ca="1" si="7"/>
        <v>0</v>
      </c>
      <c r="F37" s="1044">
        <f>SUMIF(修正!A45:A56,G2,修正!F45:F56)</f>
        <v>0.25</v>
      </c>
      <c r="G37" s="1033">
        <f ca="1">ROUND(IF(E2="工业",C37*$M$39,C37*$M$38),0)</f>
        <v>0</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0.05</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hidden="1">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hidden="1">
      <c r="A57" s="1048" t="s">
        <v>997</v>
      </c>
      <c r="B57" s="2261"/>
      <c r="C57" s="2283" t="s">
        <v>999</v>
      </c>
      <c r="D57" s="2284" t="s">
        <v>1000</v>
      </c>
      <c r="E57" s="2285" t="s">
        <v>1002</v>
      </c>
      <c r="F57" s="2286" t="s">
        <v>2237</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hidden="1">
      <c r="A58" s="1048" t="s">
        <v>1019</v>
      </c>
      <c r="B58" s="2264" t="str">
        <f>估价对象房地状况!C17</f>
        <v>周边有京贸中心、东长安街写字楼、绿地中央广场（通州）、通州富力中心等多个办公楼项目，办公集聚程度较好。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hidden="1">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hidden="1">
      <c r="A60" s="1048" t="s">
        <v>1011</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hidden="1">
      <c r="A61" s="1048" t="s">
        <v>1012</v>
      </c>
      <c r="B61" s="2783" t="s">
        <v>2901</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hidden="1">
      <c r="A62" s="1048" t="s">
        <v>1013</v>
      </c>
      <c r="B62" s="2261" t="str">
        <f>估价对象房地状况!C24</f>
        <v>城市主干道——新华东街</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hidden="1">
      <c r="A63" s="1048" t="s">
        <v>1014</v>
      </c>
      <c r="B63" s="2782" t="s">
        <v>2899</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hidden="1">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hidden="1">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hidden="1"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2238</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f>IF(E2="住宅",SUMIF(L1:L12,G2,N1:N12),"——")</f>
        <v>0.11</v>
      </c>
      <c r="G69" s="2271">
        <f>H69</f>
        <v>7.7000000000000002E-3</v>
      </c>
      <c r="H69" s="2314">
        <f t="shared" ref="H69:H77" si="21">IFERROR(ROUNDDOWN($F$69*I69/2,4),"——")</f>
        <v>7.7000000000000002E-3</v>
      </c>
      <c r="I69" s="2288">
        <v>0.14000000000000001</v>
      </c>
      <c r="J69" s="2291">
        <f t="shared" ref="J69:J77" si="22">K69+$G69</f>
        <v>1.54E-2</v>
      </c>
      <c r="K69" s="2291">
        <f t="shared" ref="K69:K77" si="23">$L69+$G69</f>
        <v>7.7000000000000002E-3</v>
      </c>
      <c r="L69" s="2291">
        <v>0</v>
      </c>
      <c r="M69" s="2291">
        <f t="shared" ref="M69:N77" si="24">L69-$G69</f>
        <v>-7.7000000000000002E-3</v>
      </c>
      <c r="N69" s="2291">
        <f t="shared" si="24"/>
        <v>-1.54E-2</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0"/>
        <v>0</v>
      </c>
      <c r="E70" s="2298"/>
      <c r="F70" s="2299"/>
      <c r="G70" s="2271">
        <f t="shared" ref="G70:G77" si="25">H70</f>
        <v>1.6500000000000001E-2</v>
      </c>
      <c r="H70" s="2314">
        <f t="shared" si="21"/>
        <v>1.6500000000000001E-2</v>
      </c>
      <c r="I70" s="2288">
        <v>0.3</v>
      </c>
      <c r="J70" s="2291">
        <f t="shared" si="22"/>
        <v>3.3000000000000002E-2</v>
      </c>
      <c r="K70" s="2291">
        <f t="shared" si="23"/>
        <v>1.6500000000000001E-2</v>
      </c>
      <c r="L70" s="2291">
        <v>0</v>
      </c>
      <c r="M70" s="2291">
        <f t="shared" si="24"/>
        <v>-1.6500000000000001E-2</v>
      </c>
      <c r="N70" s="2291">
        <f t="shared" si="24"/>
        <v>-3.3000000000000002E-2</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0"/>
        <v>0</v>
      </c>
      <c r="E71" s="2298"/>
      <c r="F71" s="2299"/>
      <c r="G71" s="2271">
        <f t="shared" si="25"/>
        <v>4.4000000000000003E-3</v>
      </c>
      <c r="H71" s="2314">
        <f t="shared" si="21"/>
        <v>4.4000000000000003E-3</v>
      </c>
      <c r="I71" s="2288">
        <v>0.08</v>
      </c>
      <c r="J71" s="2291">
        <f t="shared" si="22"/>
        <v>8.8000000000000005E-3</v>
      </c>
      <c r="K71" s="2291">
        <f t="shared" si="23"/>
        <v>4.4000000000000003E-3</v>
      </c>
      <c r="L71" s="2291">
        <v>0</v>
      </c>
      <c r="M71" s="2291">
        <f t="shared" si="24"/>
        <v>-4.4000000000000003E-3</v>
      </c>
      <c r="N71" s="2291">
        <f t="shared" si="24"/>
        <v>-8.8000000000000005E-3</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0"/>
        <v>0</v>
      </c>
      <c r="E72" s="2298"/>
      <c r="F72" s="2299"/>
      <c r="G72" s="2271">
        <f t="shared" si="25"/>
        <v>2.2000000000000001E-3</v>
      </c>
      <c r="H72" s="2314">
        <f t="shared" si="21"/>
        <v>2.2000000000000001E-3</v>
      </c>
      <c r="I72" s="2288">
        <v>0.04</v>
      </c>
      <c r="J72" s="2291">
        <f t="shared" si="22"/>
        <v>4.4000000000000003E-3</v>
      </c>
      <c r="K72" s="2291">
        <f t="shared" si="23"/>
        <v>2.2000000000000001E-3</v>
      </c>
      <c r="L72" s="2291">
        <v>0</v>
      </c>
      <c r="M72" s="2291">
        <f t="shared" si="24"/>
        <v>-2.2000000000000001E-3</v>
      </c>
      <c r="N72" s="2291">
        <f t="shared" si="24"/>
        <v>-4.4000000000000003E-3</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0"/>
        <v>0</v>
      </c>
      <c r="E73" s="2298"/>
      <c r="F73" s="2299"/>
      <c r="G73" s="2271">
        <f t="shared" si="25"/>
        <v>4.4000000000000003E-3</v>
      </c>
      <c r="H73" s="2314">
        <f t="shared" si="21"/>
        <v>4.4000000000000003E-3</v>
      </c>
      <c r="I73" s="2288">
        <v>0.08</v>
      </c>
      <c r="J73" s="2291">
        <f t="shared" si="22"/>
        <v>8.8000000000000005E-3</v>
      </c>
      <c r="K73" s="2291">
        <f t="shared" si="23"/>
        <v>4.4000000000000003E-3</v>
      </c>
      <c r="L73" s="2291">
        <v>0</v>
      </c>
      <c r="M73" s="2291">
        <f t="shared" si="24"/>
        <v>-4.4000000000000003E-3</v>
      </c>
      <c r="N73" s="2291">
        <f t="shared" si="24"/>
        <v>-8.8000000000000005E-3</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0"/>
        <v>0</v>
      </c>
      <c r="E74" s="2298"/>
      <c r="F74" s="2299"/>
      <c r="G74" s="2271">
        <f t="shared" si="25"/>
        <v>6.6E-3</v>
      </c>
      <c r="H74" s="2314">
        <f t="shared" si="21"/>
        <v>6.6E-3</v>
      </c>
      <c r="I74" s="2288">
        <v>0.12</v>
      </c>
      <c r="J74" s="2291">
        <f t="shared" si="22"/>
        <v>1.32E-2</v>
      </c>
      <c r="K74" s="2291">
        <f t="shared" si="23"/>
        <v>6.6E-3</v>
      </c>
      <c r="L74" s="2291">
        <v>0</v>
      </c>
      <c r="M74" s="2291">
        <f t="shared" si="24"/>
        <v>-6.6E-3</v>
      </c>
      <c r="N74" s="2291">
        <f t="shared" si="24"/>
        <v>-1.32E-2</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0"/>
        <v>0</v>
      </c>
      <c r="E75" s="2298"/>
      <c r="F75" s="2299"/>
      <c r="G75" s="2271">
        <f t="shared" si="25"/>
        <v>2.7000000000000001E-3</v>
      </c>
      <c r="H75" s="2314">
        <f t="shared" si="21"/>
        <v>2.7000000000000001E-3</v>
      </c>
      <c r="I75" s="2288">
        <v>0.05</v>
      </c>
      <c r="J75" s="2291">
        <f t="shared" si="22"/>
        <v>5.4000000000000003E-3</v>
      </c>
      <c r="K75" s="2291">
        <f t="shared" si="23"/>
        <v>2.7000000000000001E-3</v>
      </c>
      <c r="L75" s="2291">
        <v>0</v>
      </c>
      <c r="M75" s="2291">
        <f t="shared" si="24"/>
        <v>-2.7000000000000001E-3</v>
      </c>
      <c r="N75" s="2291">
        <f t="shared" si="24"/>
        <v>-5.4000000000000003E-3</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0"/>
        <v>0</v>
      </c>
      <c r="E76" s="2298"/>
      <c r="F76" s="2299"/>
      <c r="G76" s="2271">
        <f t="shared" si="25"/>
        <v>8.2000000000000007E-3</v>
      </c>
      <c r="H76" s="2314">
        <f t="shared" si="21"/>
        <v>8.2000000000000007E-3</v>
      </c>
      <c r="I76" s="2288">
        <v>0.15</v>
      </c>
      <c r="J76" s="2291">
        <f t="shared" si="22"/>
        <v>1.6400000000000001E-2</v>
      </c>
      <c r="K76" s="2291">
        <f t="shared" si="23"/>
        <v>8.2000000000000007E-3</v>
      </c>
      <c r="L76" s="2291">
        <v>0</v>
      </c>
      <c r="M76" s="2291">
        <f t="shared" si="24"/>
        <v>-8.2000000000000007E-3</v>
      </c>
      <c r="N76" s="2291">
        <f t="shared" si="24"/>
        <v>-1.6400000000000001E-2</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0"/>
        <v>0</v>
      </c>
      <c r="E77" s="2300"/>
      <c r="F77" s="2299"/>
      <c r="G77" s="2271">
        <f t="shared" si="25"/>
        <v>2.2000000000000001E-3</v>
      </c>
      <c r="H77" s="2314">
        <f t="shared" si="21"/>
        <v>2.2000000000000001E-3</v>
      </c>
      <c r="I77" s="2295">
        <v>0.04</v>
      </c>
      <c r="J77" s="2291">
        <f t="shared" si="22"/>
        <v>4.4000000000000003E-3</v>
      </c>
      <c r="K77" s="2291">
        <f t="shared" si="23"/>
        <v>2.2000000000000001E-3</v>
      </c>
      <c r="L77" s="2291">
        <v>0</v>
      </c>
      <c r="M77" s="2291">
        <f t="shared" si="24"/>
        <v>-2.2000000000000001E-3</v>
      </c>
      <c r="N77" s="2291">
        <f t="shared" si="24"/>
        <v>-4.4000000000000003E-3</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2239</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47" t="s">
        <v>1622</v>
      </c>
      <c r="B90" s="3647"/>
      <c r="C90" s="3647"/>
      <c r="D90" s="3647"/>
      <c r="E90" s="3647"/>
      <c r="F90" s="3647"/>
      <c r="G90" s="3647"/>
      <c r="H90" s="3647"/>
      <c r="I90" s="3647"/>
      <c r="J90" s="3647"/>
      <c r="K90" s="2303"/>
      <c r="L90" s="2303"/>
      <c r="M90" s="2303"/>
      <c r="N90" s="2303"/>
    </row>
    <row r="91" spans="1:40">
      <c r="A91" s="3648" t="s">
        <v>1432</v>
      </c>
      <c r="B91" s="3648" t="s">
        <v>1623</v>
      </c>
      <c r="C91" s="1121" t="s">
        <v>1624</v>
      </c>
      <c r="D91" s="1122"/>
      <c r="E91" s="1122"/>
      <c r="F91" s="1122"/>
      <c r="G91" s="1122"/>
      <c r="H91" s="1122"/>
      <c r="I91" s="1122"/>
      <c r="J91" s="1123"/>
      <c r="K91" s="1115"/>
      <c r="L91" s="1115"/>
      <c r="M91" s="1115"/>
      <c r="N91" s="1115"/>
    </row>
    <row r="92" spans="1:40">
      <c r="A92" s="3648"/>
      <c r="B92" s="3648"/>
      <c r="C92" s="2302" t="s">
        <v>896</v>
      </c>
      <c r="D92" s="2302" t="s">
        <v>874</v>
      </c>
      <c r="E92" s="2302" t="s">
        <v>875</v>
      </c>
      <c r="F92" s="2302" t="s">
        <v>899</v>
      </c>
      <c r="G92" s="2302" t="s">
        <v>877</v>
      </c>
      <c r="H92" s="2302" t="s">
        <v>878</v>
      </c>
      <c r="I92" s="2302" t="s">
        <v>879</v>
      </c>
      <c r="J92" s="2302" t="s">
        <v>880</v>
      </c>
      <c r="K92" s="2302" t="s">
        <v>904</v>
      </c>
      <c r="L92" s="2302" t="s">
        <v>882</v>
      </c>
      <c r="M92" s="2302" t="s">
        <v>883</v>
      </c>
      <c r="N92" s="2302" t="s">
        <v>907</v>
      </c>
    </row>
    <row r="93" spans="1:40">
      <c r="A93" s="3631"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32"/>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32"/>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32"/>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32"/>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32"/>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32"/>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33"/>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31" t="s">
        <v>1626</v>
      </c>
      <c r="B101" s="1128" t="s">
        <v>895</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32"/>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32"/>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32"/>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32"/>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32"/>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32"/>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32"/>
      <c r="B108" s="3634"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33"/>
      <c r="B109" s="3635"/>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41" t="s">
        <v>1628</v>
      </c>
      <c r="B110" s="3641"/>
      <c r="C110" s="3641"/>
      <c r="D110" s="3641"/>
      <c r="E110" s="3641"/>
      <c r="F110" s="3641"/>
      <c r="G110" s="3641"/>
      <c r="H110" s="3641"/>
      <c r="I110" s="3641"/>
      <c r="J110" s="3641"/>
      <c r="K110" s="2301"/>
      <c r="L110" s="2301"/>
      <c r="M110" s="2301"/>
      <c r="N110" s="2301"/>
    </row>
    <row r="112" spans="1:14" ht="12.75" thickBot="1"/>
    <row r="113" spans="1:13" ht="25.5" thickBot="1">
      <c r="A113" s="1001" t="s">
        <v>885</v>
      </c>
      <c r="B113" s="2304">
        <f>G3</f>
        <v>2.8</v>
      </c>
      <c r="C113" s="1002" t="s">
        <v>886</v>
      </c>
      <c r="D113" s="1003">
        <f>SUMPRODUCT((A115:A118=F113)*(B114:M114=H113)*B115:M118)</f>
        <v>0.85240000000000005</v>
      </c>
      <c r="E113" s="1004" t="s">
        <v>887</v>
      </c>
      <c r="F113" s="1005" t="str">
        <f>E2</f>
        <v>住宅</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8" priority="5" stopIfTrue="1" operator="notEqual">
      <formula>"——"</formula>
    </cfRule>
  </conditionalFormatting>
  <conditionalFormatting sqref="F58">
    <cfRule type="cellIs" dxfId="147" priority="4" stopIfTrue="1" operator="notEqual">
      <formula>"——"</formula>
    </cfRule>
  </conditionalFormatting>
  <conditionalFormatting sqref="F69">
    <cfRule type="cellIs" dxfId="146" priority="3" stopIfTrue="1" operator="notEqual">
      <formula>"——"</formula>
    </cfRule>
  </conditionalFormatting>
  <conditionalFormatting sqref="F80">
    <cfRule type="cellIs" dxfId="145" priority="2" stopIfTrue="1" operator="notEqual">
      <formula>"——"</formula>
    </cfRule>
  </conditionalFormatting>
  <conditionalFormatting sqref="H58:H66 H47:H55 H69:H77 H80:H87">
    <cfRule type="cellIs" dxfId="14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3" t="s">
        <v>2946</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8" customFormat="1" ht="19.5" customHeight="1">
      <c r="A18" s="3648" t="s">
        <v>996</v>
      </c>
      <c r="B18" s="1135" t="s">
        <v>1435</v>
      </c>
      <c r="C18" s="1112" t="s">
        <v>1436</v>
      </c>
      <c r="D18" s="1113"/>
      <c r="E18" s="1135">
        <v>1</v>
      </c>
      <c r="F18" s="1114" t="s">
        <v>1437</v>
      </c>
      <c r="G18" s="1115"/>
      <c r="H18" s="1086"/>
      <c r="I18" s="1086"/>
    </row>
    <row r="19" spans="1:9" s="1528" customFormat="1" ht="19.5" customHeight="1">
      <c r="A19" s="3648"/>
      <c r="B19" s="3648" t="s">
        <v>1438</v>
      </c>
      <c r="C19" s="1112" t="s">
        <v>1439</v>
      </c>
      <c r="D19" s="1113"/>
      <c r="E19" s="1135">
        <v>0.9</v>
      </c>
      <c r="F19" s="1114" t="s">
        <v>1440</v>
      </c>
      <c r="G19" s="1115"/>
      <c r="H19" s="1086"/>
      <c r="I19" s="1086"/>
    </row>
    <row r="20" spans="1:9" s="1528" customFormat="1" ht="19.5" customHeight="1">
      <c r="A20" s="3648"/>
      <c r="B20" s="3648"/>
      <c r="C20" s="1112" t="s">
        <v>1441</v>
      </c>
      <c r="D20" s="1113"/>
      <c r="E20" s="1135">
        <v>1.1000000000000001</v>
      </c>
      <c r="F20" s="1114" t="s">
        <v>1442</v>
      </c>
      <c r="G20" s="1115"/>
      <c r="H20" s="1086"/>
      <c r="I20" s="1086"/>
    </row>
    <row r="21" spans="1:9" s="1528" customFormat="1" ht="19.5" customHeight="1">
      <c r="A21" s="3648"/>
      <c r="B21" s="3648"/>
      <c r="C21" s="1112" t="s">
        <v>1443</v>
      </c>
      <c r="D21" s="1113"/>
      <c r="E21" s="1135">
        <v>0.8</v>
      </c>
      <c r="F21" s="1114" t="s">
        <v>1444</v>
      </c>
      <c r="G21" s="1115"/>
      <c r="H21" s="1086"/>
      <c r="I21" s="1086"/>
    </row>
    <row r="22" spans="1:9" s="1528" customFormat="1" ht="19.5" customHeight="1">
      <c r="A22" s="3648"/>
      <c r="B22" s="3648"/>
      <c r="C22" s="1112" t="s">
        <v>1445</v>
      </c>
      <c r="D22" s="1113"/>
      <c r="E22" s="1135">
        <v>0.5</v>
      </c>
      <c r="F22" s="1114"/>
      <c r="G22" s="1115"/>
      <c r="H22" s="1086"/>
      <c r="I22" s="1086"/>
    </row>
    <row r="23" spans="1:9" s="1528" customFormat="1" ht="19.5" customHeight="1">
      <c r="A23" s="3648" t="s">
        <v>1018</v>
      </c>
      <c r="B23" s="1135" t="s">
        <v>1435</v>
      </c>
      <c r="C23" s="1112" t="s">
        <v>1446</v>
      </c>
      <c r="D23" s="1113"/>
      <c r="E23" s="1135">
        <v>1</v>
      </c>
      <c r="F23" s="1114" t="s">
        <v>1447</v>
      </c>
      <c r="G23" s="1115"/>
      <c r="H23" s="1086"/>
      <c r="I23" s="1086"/>
    </row>
    <row r="24" spans="1:9" s="1528" customFormat="1" ht="19.5" customHeight="1">
      <c r="A24" s="3648"/>
      <c r="B24" s="3648" t="s">
        <v>1438</v>
      </c>
      <c r="C24" s="1112" t="s">
        <v>1448</v>
      </c>
      <c r="D24" s="1113"/>
      <c r="E24" s="1135">
        <v>0.5</v>
      </c>
      <c r="F24" s="1114"/>
      <c r="G24" s="1115"/>
      <c r="H24" s="1086"/>
      <c r="I24" s="1086"/>
    </row>
    <row r="25" spans="1:9" s="1528" customFormat="1" ht="19.5" customHeight="1">
      <c r="A25" s="3648"/>
      <c r="B25" s="3648"/>
      <c r="C25" s="1112" t="s">
        <v>1449</v>
      </c>
      <c r="D25" s="1113"/>
      <c r="E25" s="1135">
        <v>1.1000000000000001</v>
      </c>
      <c r="F25" s="1114"/>
      <c r="G25" s="1115"/>
      <c r="H25" s="1086"/>
      <c r="I25" s="1086"/>
    </row>
    <row r="26" spans="1:9" s="1528" customFormat="1" ht="19.5" customHeight="1">
      <c r="A26" s="3648"/>
      <c r="B26" s="3648"/>
      <c r="C26" s="1112" t="s">
        <v>1450</v>
      </c>
      <c r="D26" s="1113"/>
      <c r="E26" s="1135">
        <v>1.1000000000000001</v>
      </c>
      <c r="F26" s="1114"/>
      <c r="G26" s="1115"/>
      <c r="H26" s="1086"/>
      <c r="I26" s="1086"/>
    </row>
    <row r="27" spans="1:9" s="1528" customFormat="1" ht="19.5" customHeight="1">
      <c r="A27" s="3648"/>
      <c r="B27" s="3648"/>
      <c r="C27" s="1112" t="s">
        <v>1451</v>
      </c>
      <c r="D27" s="1113"/>
      <c r="E27" s="1135">
        <v>0.9</v>
      </c>
      <c r="F27" s="1114" t="s">
        <v>1452</v>
      </c>
      <c r="G27" s="1115"/>
      <c r="H27" s="1086"/>
      <c r="I27" s="1086"/>
    </row>
    <row r="28" spans="1:9" s="1528" customFormat="1" ht="19.5" customHeight="1">
      <c r="A28" s="3648"/>
      <c r="B28" s="3648"/>
      <c r="C28" s="1112" t="s">
        <v>1453</v>
      </c>
      <c r="D28" s="1113"/>
      <c r="E28" s="1135">
        <v>0.9</v>
      </c>
      <c r="F28" s="1114" t="s">
        <v>1454</v>
      </c>
      <c r="G28" s="1115"/>
      <c r="H28" s="1086"/>
      <c r="I28" s="1086"/>
    </row>
    <row r="29" spans="1:9" s="1528" customFormat="1" ht="19.5" customHeight="1">
      <c r="A29" s="3648"/>
      <c r="B29" s="3648"/>
      <c r="C29" s="1112" t="s">
        <v>1455</v>
      </c>
      <c r="D29" s="1113"/>
      <c r="E29" s="1135">
        <v>0.9</v>
      </c>
      <c r="F29" s="1114" t="s">
        <v>1456</v>
      </c>
      <c r="G29" s="1115"/>
      <c r="H29" s="1086"/>
      <c r="I29" s="1086"/>
    </row>
    <row r="30" spans="1:9" s="1528" customFormat="1" ht="19.5" customHeight="1">
      <c r="A30" s="3648"/>
      <c r="B30" s="3648"/>
      <c r="C30" s="1112" t="s">
        <v>1457</v>
      </c>
      <c r="D30" s="1113"/>
      <c r="E30" s="1135">
        <v>0.9</v>
      </c>
      <c r="F30" s="1114" t="s">
        <v>1458</v>
      </c>
      <c r="G30" s="1115"/>
      <c r="H30" s="1086"/>
      <c r="I30" s="1086"/>
    </row>
    <row r="31" spans="1:9" s="1528" customFormat="1" ht="19.5" customHeight="1">
      <c r="A31" s="3648"/>
      <c r="B31" s="3648"/>
      <c r="C31" s="1112" t="s">
        <v>1459</v>
      </c>
      <c r="D31" s="1113"/>
      <c r="E31" s="1135">
        <v>0.8</v>
      </c>
      <c r="F31" s="1114" t="s">
        <v>1460</v>
      </c>
      <c r="G31" s="1115"/>
      <c r="H31" s="1086"/>
      <c r="I31" s="1086"/>
    </row>
    <row r="32" spans="1:9" s="1528" customFormat="1" ht="19.5" customHeight="1">
      <c r="A32" s="3648"/>
      <c r="B32" s="3648"/>
      <c r="C32" s="1112" t="s">
        <v>1461</v>
      </c>
      <c r="D32" s="1113"/>
      <c r="E32" s="1135">
        <v>0.8</v>
      </c>
      <c r="F32" s="1114" t="s">
        <v>1462</v>
      </c>
      <c r="G32" s="1115"/>
      <c r="H32" s="1086"/>
      <c r="I32" s="1086"/>
    </row>
    <row r="33" spans="1:9" s="1528" customFormat="1" ht="19.5" customHeight="1">
      <c r="A33" s="3648" t="s">
        <v>1463</v>
      </c>
      <c r="B33" s="1135" t="s">
        <v>1435</v>
      </c>
      <c r="C33" s="1112" t="s">
        <v>1464</v>
      </c>
      <c r="D33" s="1113"/>
      <c r="E33" s="1135">
        <v>1</v>
      </c>
      <c r="F33" s="1114" t="s">
        <v>1465</v>
      </c>
      <c r="G33" s="1115"/>
      <c r="H33" s="1086"/>
      <c r="I33" s="1086"/>
    </row>
    <row r="34" spans="1:9" s="1528" customFormat="1" ht="19.5" customHeight="1">
      <c r="A34" s="3648"/>
      <c r="B34" s="1135" t="s">
        <v>1438</v>
      </c>
      <c r="C34" s="1112" t="s">
        <v>1466</v>
      </c>
      <c r="D34" s="1113"/>
      <c r="E34" s="1135">
        <v>1.5</v>
      </c>
      <c r="F34" s="1114" t="s">
        <v>1467</v>
      </c>
      <c r="G34" s="1115"/>
      <c r="H34" s="1086"/>
      <c r="I34" s="1086"/>
    </row>
    <row r="35" spans="1:9" s="1528" customFormat="1" ht="19.5" customHeight="1">
      <c r="A35" s="3648" t="s">
        <v>1421</v>
      </c>
      <c r="B35" s="1135" t="s">
        <v>1435</v>
      </c>
      <c r="C35" s="1112" t="s">
        <v>1468</v>
      </c>
      <c r="D35" s="1113"/>
      <c r="E35" s="1135">
        <v>1</v>
      </c>
      <c r="F35" s="1114" t="s">
        <v>1469</v>
      </c>
      <c r="G35" s="1115"/>
      <c r="H35" s="1086"/>
      <c r="I35" s="1086"/>
    </row>
    <row r="36" spans="1:9" s="1528" customFormat="1" ht="19.5" customHeight="1">
      <c r="A36" s="3648"/>
      <c r="B36" s="3648" t="s">
        <v>1438</v>
      </c>
      <c r="C36" s="1112" t="s">
        <v>1470</v>
      </c>
      <c r="D36" s="1113"/>
      <c r="E36" s="1135">
        <v>1</v>
      </c>
      <c r="F36" s="1114" t="s">
        <v>1471</v>
      </c>
      <c r="G36" s="1115"/>
      <c r="H36" s="1086"/>
      <c r="I36" s="1086"/>
    </row>
    <row r="37" spans="1:9" s="1528" customFormat="1" ht="19.5" customHeight="1">
      <c r="A37" s="3648"/>
      <c r="B37" s="3648"/>
      <c r="C37" s="1112" t="s">
        <v>1472</v>
      </c>
      <c r="D37" s="1113"/>
      <c r="E37" s="1135">
        <v>1.5</v>
      </c>
      <c r="F37" s="1114" t="s">
        <v>1473</v>
      </c>
      <c r="G37" s="1115"/>
      <c r="H37" s="1086"/>
      <c r="I37" s="1086"/>
    </row>
    <row r="38" spans="1:9" s="1528" customFormat="1" ht="19.5" customHeight="1">
      <c r="A38" s="3648"/>
      <c r="B38" s="3648"/>
      <c r="C38" s="1112" t="s">
        <v>1474</v>
      </c>
      <c r="D38" s="1113"/>
      <c r="E38" s="1135">
        <v>1</v>
      </c>
      <c r="F38" s="1114" t="s">
        <v>1475</v>
      </c>
      <c r="G38" s="1115"/>
      <c r="H38" s="1086"/>
      <c r="I38" s="1086"/>
    </row>
    <row r="39" spans="1:9" s="1528" customFormat="1" ht="19.5" customHeight="1">
      <c r="A39" s="3648"/>
      <c r="B39" s="3648"/>
      <c r="C39" s="1112" t="s">
        <v>1476</v>
      </c>
      <c r="D39" s="1113"/>
      <c r="E39" s="1135">
        <v>1</v>
      </c>
      <c r="F39" s="1114" t="s">
        <v>1477</v>
      </c>
      <c r="G39" s="1115"/>
      <c r="H39" s="1086"/>
      <c r="I39" s="1086"/>
    </row>
    <row r="40" spans="1:9" s="1528" customFormat="1" ht="19.5" customHeight="1">
      <c r="A40" s="1529" t="s">
        <v>1478</v>
      </c>
      <c r="B40" s="1529"/>
      <c r="C40" s="1529"/>
      <c r="D40" s="1529"/>
      <c r="E40" s="1529"/>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3648" t="s">
        <v>1490</v>
      </c>
      <c r="C61" s="1049" t="s">
        <v>1491</v>
      </c>
      <c r="D61" s="1049" t="s">
        <v>1492</v>
      </c>
      <c r="E61" s="1120">
        <v>0.5</v>
      </c>
      <c r="F61" s="1135">
        <v>80</v>
      </c>
      <c r="H61" s="1086">
        <f>SUMIF(C59:C119,基准地价住宅!C8,E59:E119)</f>
        <v>0</v>
      </c>
    </row>
    <row r="62" spans="1:8" s="1086" customFormat="1" ht="24">
      <c r="A62" s="1135">
        <v>2</v>
      </c>
      <c r="B62" s="3648"/>
      <c r="C62" s="1049" t="s">
        <v>1493</v>
      </c>
      <c r="D62" s="1049" t="s">
        <v>1494</v>
      </c>
      <c r="E62" s="1120">
        <v>0.5</v>
      </c>
      <c r="F62" s="1135">
        <v>80</v>
      </c>
    </row>
    <row r="63" spans="1:8" s="1086" customFormat="1" ht="36">
      <c r="A63" s="1135">
        <v>3</v>
      </c>
      <c r="B63" s="3648"/>
      <c r="C63" s="1049" t="s">
        <v>1495</v>
      </c>
      <c r="D63" s="1049" t="s">
        <v>1496</v>
      </c>
      <c r="E63" s="1120">
        <v>0.5</v>
      </c>
      <c r="F63" s="1135">
        <v>80</v>
      </c>
    </row>
    <row r="64" spans="1:8" s="1086" customFormat="1" ht="36">
      <c r="A64" s="1135">
        <v>4</v>
      </c>
      <c r="B64" s="3648"/>
      <c r="C64" s="1049" t="s">
        <v>1497</v>
      </c>
      <c r="D64" s="1049" t="s">
        <v>1498</v>
      </c>
      <c r="E64" s="1120">
        <v>0.4</v>
      </c>
      <c r="F64" s="1135">
        <v>60</v>
      </c>
    </row>
    <row r="65" spans="1:6" s="1086" customFormat="1" ht="36">
      <c r="A65" s="1135">
        <v>5</v>
      </c>
      <c r="B65" s="3648"/>
      <c r="C65" s="1049" t="s">
        <v>1499</v>
      </c>
      <c r="D65" s="1049" t="s">
        <v>1500</v>
      </c>
      <c r="E65" s="1120">
        <v>0.2</v>
      </c>
      <c r="F65" s="1135">
        <v>30</v>
      </c>
    </row>
    <row r="66" spans="1:6" s="1086" customFormat="1" ht="36">
      <c r="A66" s="1135">
        <v>6</v>
      </c>
      <c r="B66" s="3648"/>
      <c r="C66" s="1049" t="s">
        <v>1501</v>
      </c>
      <c r="D66" s="1049" t="s">
        <v>1502</v>
      </c>
      <c r="E66" s="1120">
        <v>0.3</v>
      </c>
      <c r="F66" s="1135">
        <v>50</v>
      </c>
    </row>
    <row r="67" spans="1:6" s="1086" customFormat="1" ht="36">
      <c r="A67" s="1135">
        <v>7</v>
      </c>
      <c r="B67" s="3648"/>
      <c r="C67" s="1049" t="s">
        <v>1503</v>
      </c>
      <c r="D67" s="1049" t="s">
        <v>1504</v>
      </c>
      <c r="E67" s="1120">
        <v>0.2</v>
      </c>
      <c r="F67" s="1135">
        <v>30</v>
      </c>
    </row>
    <row r="68" spans="1:6" s="1086" customFormat="1" ht="36">
      <c r="A68" s="1135">
        <v>8</v>
      </c>
      <c r="B68" s="3648"/>
      <c r="C68" s="1049" t="s">
        <v>1505</v>
      </c>
      <c r="D68" s="1049" t="s">
        <v>1506</v>
      </c>
      <c r="E68" s="1120">
        <v>0.2</v>
      </c>
      <c r="F68" s="1135">
        <v>30</v>
      </c>
    </row>
    <row r="69" spans="1:6" s="1086" customFormat="1" ht="36">
      <c r="A69" s="1135">
        <v>9</v>
      </c>
      <c r="B69" s="3648"/>
      <c r="C69" s="1049" t="s">
        <v>1507</v>
      </c>
      <c r="D69" s="1049" t="s">
        <v>1508</v>
      </c>
      <c r="E69" s="1120">
        <v>0.2</v>
      </c>
      <c r="F69" s="1135">
        <v>30</v>
      </c>
    </row>
    <row r="70" spans="1:6" s="1086" customFormat="1" ht="48">
      <c r="A70" s="1135">
        <v>10</v>
      </c>
      <c r="B70" s="3648"/>
      <c r="C70" s="1049" t="s">
        <v>1509</v>
      </c>
      <c r="D70" s="1049" t="s">
        <v>1510</v>
      </c>
      <c r="E70" s="1120">
        <v>0.2</v>
      </c>
      <c r="F70" s="1135">
        <v>30</v>
      </c>
    </row>
    <row r="71" spans="1:6" s="1086" customFormat="1" ht="48">
      <c r="A71" s="1135">
        <v>11</v>
      </c>
      <c r="B71" s="3648"/>
      <c r="C71" s="1049" t="s">
        <v>1511</v>
      </c>
      <c r="D71" s="1049" t="s">
        <v>1512</v>
      </c>
      <c r="E71" s="1120">
        <v>0.2</v>
      </c>
      <c r="F71" s="1135">
        <v>30</v>
      </c>
    </row>
    <row r="72" spans="1:6" s="1086" customFormat="1" ht="36">
      <c r="A72" s="1135">
        <v>12</v>
      </c>
      <c r="B72" s="3648"/>
      <c r="C72" s="1049" t="s">
        <v>1513</v>
      </c>
      <c r="D72" s="1049" t="s">
        <v>1514</v>
      </c>
      <c r="E72" s="1120">
        <v>0.5</v>
      </c>
      <c r="F72" s="1135">
        <v>80</v>
      </c>
    </row>
    <row r="73" spans="1:6" s="1086" customFormat="1" ht="24">
      <c r="A73" s="1135">
        <v>13</v>
      </c>
      <c r="B73" s="3648"/>
      <c r="C73" s="1049" t="s">
        <v>1515</v>
      </c>
      <c r="D73" s="1049" t="s">
        <v>1516</v>
      </c>
      <c r="E73" s="1120">
        <v>0.4</v>
      </c>
      <c r="F73" s="1135">
        <v>60</v>
      </c>
    </row>
    <row r="74" spans="1:6" s="1086" customFormat="1" ht="24">
      <c r="A74" s="1135">
        <v>14</v>
      </c>
      <c r="B74" s="3648"/>
      <c r="C74" s="1049" t="s">
        <v>1517</v>
      </c>
      <c r="D74" s="1049" t="s">
        <v>1518</v>
      </c>
      <c r="E74" s="1120">
        <v>0.2</v>
      </c>
      <c r="F74" s="1135">
        <v>30</v>
      </c>
    </row>
    <row r="75" spans="1:6" s="1086" customFormat="1" ht="24">
      <c r="A75" s="1135">
        <v>15</v>
      </c>
      <c r="B75" s="3648"/>
      <c r="C75" s="1049" t="s">
        <v>1519</v>
      </c>
      <c r="D75" s="1049" t="s">
        <v>1520</v>
      </c>
      <c r="E75" s="1120">
        <v>0.2</v>
      </c>
      <c r="F75" s="1135">
        <v>30</v>
      </c>
    </row>
    <row r="76" spans="1:6" s="1086" customFormat="1" ht="24">
      <c r="A76" s="1135">
        <v>16</v>
      </c>
      <c r="B76" s="3648" t="s">
        <v>1521</v>
      </c>
      <c r="C76" s="1049" t="s">
        <v>1522</v>
      </c>
      <c r="D76" s="1049" t="s">
        <v>1523</v>
      </c>
      <c r="E76" s="1120">
        <v>0.5</v>
      </c>
      <c r="F76" s="1135">
        <v>80</v>
      </c>
    </row>
    <row r="77" spans="1:6" s="1086" customFormat="1" ht="24">
      <c r="A77" s="1135">
        <v>17</v>
      </c>
      <c r="B77" s="3648"/>
      <c r="C77" s="1049" t="s">
        <v>1524</v>
      </c>
      <c r="D77" s="1049" t="s">
        <v>1525</v>
      </c>
      <c r="E77" s="1120">
        <v>0.5</v>
      </c>
      <c r="F77" s="1135">
        <v>80</v>
      </c>
    </row>
    <row r="78" spans="1:6" s="1086" customFormat="1" ht="24">
      <c r="A78" s="1135">
        <v>18</v>
      </c>
      <c r="B78" s="3648"/>
      <c r="C78" s="1049" t="s">
        <v>1526</v>
      </c>
      <c r="D78" s="1049" t="s">
        <v>1527</v>
      </c>
      <c r="E78" s="1120">
        <v>0.2</v>
      </c>
      <c r="F78" s="1135">
        <v>30</v>
      </c>
    </row>
    <row r="79" spans="1:6" s="1086" customFormat="1" ht="24">
      <c r="A79" s="1135">
        <v>19</v>
      </c>
      <c r="B79" s="3648"/>
      <c r="C79" s="1049" t="s">
        <v>1528</v>
      </c>
      <c r="D79" s="1049" t="s">
        <v>1529</v>
      </c>
      <c r="E79" s="1120">
        <v>0.5</v>
      </c>
      <c r="F79" s="1135">
        <v>80</v>
      </c>
    </row>
    <row r="80" spans="1:6" s="1086" customFormat="1" ht="36">
      <c r="A80" s="1135">
        <v>20</v>
      </c>
      <c r="B80" s="3648"/>
      <c r="C80" s="1049" t="s">
        <v>1530</v>
      </c>
      <c r="D80" s="1049" t="s">
        <v>1531</v>
      </c>
      <c r="E80" s="1120">
        <v>0.2</v>
      </c>
      <c r="F80" s="1135">
        <v>30</v>
      </c>
    </row>
    <row r="81" spans="1:6" s="1086" customFormat="1" ht="36">
      <c r="A81" s="1135">
        <v>21</v>
      </c>
      <c r="B81" s="3648"/>
      <c r="C81" s="1049" t="s">
        <v>1532</v>
      </c>
      <c r="D81" s="1049" t="s">
        <v>1533</v>
      </c>
      <c r="E81" s="1120">
        <v>0.2</v>
      </c>
      <c r="F81" s="1135">
        <v>30</v>
      </c>
    </row>
    <row r="82" spans="1:6" s="1086" customFormat="1" ht="48">
      <c r="A82" s="1135">
        <v>22</v>
      </c>
      <c r="B82" s="3648"/>
      <c r="C82" s="1049" t="s">
        <v>1534</v>
      </c>
      <c r="D82" s="1049" t="s">
        <v>1535</v>
      </c>
      <c r="E82" s="1120">
        <v>0.2</v>
      </c>
      <c r="F82" s="1135">
        <v>30</v>
      </c>
    </row>
    <row r="83" spans="1:6" s="1086" customFormat="1" ht="48">
      <c r="A83" s="1135">
        <v>23</v>
      </c>
      <c r="B83" s="3648"/>
      <c r="C83" s="1049" t="s">
        <v>1536</v>
      </c>
      <c r="D83" s="1049" t="s">
        <v>1537</v>
      </c>
      <c r="E83" s="1120">
        <v>0.2</v>
      </c>
      <c r="F83" s="1135">
        <v>30</v>
      </c>
    </row>
    <row r="84" spans="1:6" s="1086" customFormat="1" ht="36">
      <c r="A84" s="1135">
        <v>24</v>
      </c>
      <c r="B84" s="3648"/>
      <c r="C84" s="1049" t="s">
        <v>1538</v>
      </c>
      <c r="D84" s="1049" t="s">
        <v>1539</v>
      </c>
      <c r="E84" s="1120">
        <v>0.2</v>
      </c>
      <c r="F84" s="1135">
        <v>30</v>
      </c>
    </row>
    <row r="85" spans="1:6" s="1086" customFormat="1" ht="36">
      <c r="A85" s="1135">
        <v>25</v>
      </c>
      <c r="B85" s="3648"/>
      <c r="C85" s="1049" t="s">
        <v>1540</v>
      </c>
      <c r="D85" s="1049" t="s">
        <v>1541</v>
      </c>
      <c r="E85" s="1120">
        <v>0.5</v>
      </c>
      <c r="F85" s="1135">
        <v>80</v>
      </c>
    </row>
    <row r="86" spans="1:6" s="1086" customFormat="1" ht="36">
      <c r="A86" s="1135">
        <v>26</v>
      </c>
      <c r="B86" s="3648"/>
      <c r="C86" s="1049" t="s">
        <v>1542</v>
      </c>
      <c r="D86" s="1049" t="s">
        <v>1543</v>
      </c>
      <c r="E86" s="1120">
        <v>0.2</v>
      </c>
      <c r="F86" s="1135">
        <v>30</v>
      </c>
    </row>
    <row r="87" spans="1:6" s="1086" customFormat="1" ht="36">
      <c r="A87" s="1135">
        <v>27</v>
      </c>
      <c r="B87" s="3648"/>
      <c r="C87" s="1049" t="s">
        <v>1544</v>
      </c>
      <c r="D87" s="1049" t="s">
        <v>1545</v>
      </c>
      <c r="E87" s="1120">
        <v>0.2</v>
      </c>
      <c r="F87" s="1135">
        <v>30</v>
      </c>
    </row>
    <row r="88" spans="1:6" s="1086" customFormat="1" ht="36">
      <c r="A88" s="1135">
        <v>28</v>
      </c>
      <c r="B88" s="3648"/>
      <c r="C88" s="1049" t="s">
        <v>1546</v>
      </c>
      <c r="D88" s="1049" t="s">
        <v>1547</v>
      </c>
      <c r="E88" s="1120">
        <v>0.2</v>
      </c>
      <c r="F88" s="1135">
        <v>30</v>
      </c>
    </row>
    <row r="89" spans="1:6" s="1086" customFormat="1" ht="24">
      <c r="A89" s="1135">
        <v>29</v>
      </c>
      <c r="B89" s="3648"/>
      <c r="C89" s="1049" t="s">
        <v>1548</v>
      </c>
      <c r="D89" s="1049" t="s">
        <v>1549</v>
      </c>
      <c r="E89" s="1120">
        <v>0.2</v>
      </c>
      <c r="F89" s="1135">
        <v>30</v>
      </c>
    </row>
    <row r="90" spans="1:6" s="1086" customFormat="1" ht="24">
      <c r="A90" s="1135">
        <v>30</v>
      </c>
      <c r="B90" s="3648"/>
      <c r="C90" s="1049" t="s">
        <v>1550</v>
      </c>
      <c r="D90" s="1049" t="s">
        <v>1551</v>
      </c>
      <c r="E90" s="1120">
        <v>0.2</v>
      </c>
      <c r="F90" s="1135">
        <v>30</v>
      </c>
    </row>
    <row r="91" spans="1:6" s="1086" customFormat="1" ht="36">
      <c r="A91" s="1135">
        <v>31</v>
      </c>
      <c r="B91" s="3648"/>
      <c r="C91" s="1049" t="s">
        <v>1552</v>
      </c>
      <c r="D91" s="1049" t="s">
        <v>1553</v>
      </c>
      <c r="E91" s="1120">
        <v>0.2</v>
      </c>
      <c r="F91" s="1135">
        <v>30</v>
      </c>
    </row>
    <row r="92" spans="1:6" s="1086" customFormat="1" ht="24">
      <c r="A92" s="1135">
        <v>32</v>
      </c>
      <c r="B92" s="3648" t="s">
        <v>1554</v>
      </c>
      <c r="C92" s="1135" t="s">
        <v>1555</v>
      </c>
      <c r="D92" s="1049" t="s">
        <v>1556</v>
      </c>
      <c r="E92" s="1120">
        <v>0.2</v>
      </c>
      <c r="F92" s="1135">
        <v>30</v>
      </c>
    </row>
    <row r="93" spans="1:6" s="1086" customFormat="1" ht="36">
      <c r="A93" s="1135">
        <v>33</v>
      </c>
      <c r="B93" s="3648"/>
      <c r="C93" s="1135" t="s">
        <v>1557</v>
      </c>
      <c r="D93" s="1049" t="s">
        <v>1558</v>
      </c>
      <c r="E93" s="1120">
        <v>0.2</v>
      </c>
      <c r="F93" s="1135">
        <v>30</v>
      </c>
    </row>
    <row r="94" spans="1:6" s="1086" customFormat="1" ht="48">
      <c r="A94" s="1135">
        <v>34</v>
      </c>
      <c r="B94" s="3648"/>
      <c r="C94" s="1135" t="s">
        <v>1559</v>
      </c>
      <c r="D94" s="1049" t="s">
        <v>1560</v>
      </c>
      <c r="E94" s="1120">
        <v>0.2</v>
      </c>
      <c r="F94" s="1135">
        <v>30</v>
      </c>
    </row>
    <row r="95" spans="1:6" s="1086" customFormat="1" ht="36">
      <c r="A95" s="1135">
        <v>35</v>
      </c>
      <c r="B95" s="3648"/>
      <c r="C95" s="1135" t="s">
        <v>1561</v>
      </c>
      <c r="D95" s="1049" t="s">
        <v>1562</v>
      </c>
      <c r="E95" s="1120">
        <v>0.2</v>
      </c>
      <c r="F95" s="1135">
        <v>30</v>
      </c>
    </row>
    <row r="96" spans="1:6" s="1086" customFormat="1" ht="48">
      <c r="A96" s="1135">
        <v>36</v>
      </c>
      <c r="B96" s="3648"/>
      <c r="C96" s="1049" t="s">
        <v>1563</v>
      </c>
      <c r="D96" s="1049" t="s">
        <v>1564</v>
      </c>
      <c r="E96" s="1120">
        <v>0.2</v>
      </c>
      <c r="F96" s="1135">
        <v>30</v>
      </c>
    </row>
    <row r="97" spans="1:6" s="1086" customFormat="1" ht="36">
      <c r="A97" s="1135">
        <v>37</v>
      </c>
      <c r="B97" s="3648"/>
      <c r="C97" s="1135" t="s">
        <v>1565</v>
      </c>
      <c r="D97" s="1049" t="s">
        <v>1566</v>
      </c>
      <c r="E97" s="1120">
        <v>0.2</v>
      </c>
      <c r="F97" s="1135">
        <v>30</v>
      </c>
    </row>
    <row r="98" spans="1:6" s="1086" customFormat="1" ht="36">
      <c r="A98" s="1135">
        <v>38</v>
      </c>
      <c r="B98" s="3648"/>
      <c r="C98" s="1135" t="s">
        <v>1567</v>
      </c>
      <c r="D98" s="1049" t="s">
        <v>1568</v>
      </c>
      <c r="E98" s="1120">
        <v>0.2</v>
      </c>
      <c r="F98" s="1135">
        <v>30</v>
      </c>
    </row>
    <row r="99" spans="1:6" s="1086" customFormat="1" ht="36">
      <c r="A99" s="1135">
        <v>39</v>
      </c>
      <c r="B99" s="3648" t="s">
        <v>1569</v>
      </c>
      <c r="C99" s="1135" t="s">
        <v>1570</v>
      </c>
      <c r="D99" s="1049" t="s">
        <v>1571</v>
      </c>
      <c r="E99" s="1120">
        <v>0.3</v>
      </c>
      <c r="F99" s="1135">
        <v>50</v>
      </c>
    </row>
    <row r="100" spans="1:6" s="1086" customFormat="1" ht="24">
      <c r="A100" s="1135">
        <v>40</v>
      </c>
      <c r="B100" s="3648"/>
      <c r="C100" s="1135" t="s">
        <v>1572</v>
      </c>
      <c r="D100" s="1049" t="s">
        <v>1573</v>
      </c>
      <c r="E100" s="1120">
        <v>0.2</v>
      </c>
      <c r="F100" s="1135">
        <v>30</v>
      </c>
    </row>
    <row r="101" spans="1:6" s="1086" customFormat="1" ht="36">
      <c r="A101" s="1135">
        <v>41</v>
      </c>
      <c r="B101" s="3648"/>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3648" t="s">
        <v>1584</v>
      </c>
      <c r="C105" s="1135" t="s">
        <v>1585</v>
      </c>
      <c r="D105" s="1049" t="s">
        <v>1586</v>
      </c>
      <c r="E105" s="1120">
        <v>0.2</v>
      </c>
      <c r="F105" s="1135">
        <v>30</v>
      </c>
    </row>
    <row r="106" spans="1:6" s="1086" customFormat="1" ht="36">
      <c r="A106" s="1135">
        <v>46</v>
      </c>
      <c r="B106" s="3648"/>
      <c r="C106" s="1135" t="s">
        <v>1587</v>
      </c>
      <c r="D106" s="1049" t="s">
        <v>1588</v>
      </c>
      <c r="E106" s="1120">
        <v>0.2</v>
      </c>
      <c r="F106" s="1135">
        <v>30</v>
      </c>
    </row>
    <row r="107" spans="1:6" s="1086" customFormat="1" ht="36">
      <c r="A107" s="1135">
        <v>47</v>
      </c>
      <c r="B107" s="3648" t="s">
        <v>1589</v>
      </c>
      <c r="C107" s="1135" t="s">
        <v>1590</v>
      </c>
      <c r="D107" s="1049" t="s">
        <v>1591</v>
      </c>
      <c r="E107" s="1120">
        <v>0.3</v>
      </c>
      <c r="F107" s="1135">
        <v>50</v>
      </c>
    </row>
    <row r="108" spans="1:6" s="1086" customFormat="1" ht="36">
      <c r="A108" s="1135">
        <v>48</v>
      </c>
      <c r="B108" s="3648"/>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3648" t="s">
        <v>1600</v>
      </c>
      <c r="C111" s="1135" t="s">
        <v>1601</v>
      </c>
      <c r="D111" s="1049" t="s">
        <v>1602</v>
      </c>
      <c r="E111" s="1120">
        <v>0.2</v>
      </c>
      <c r="F111" s="1135">
        <v>30</v>
      </c>
    </row>
    <row r="112" spans="1:6" s="1086" customFormat="1" ht="24">
      <c r="A112" s="1135">
        <v>52</v>
      </c>
      <c r="B112" s="3648"/>
      <c r="C112" s="1135" t="s">
        <v>1603</v>
      </c>
      <c r="D112" s="1049" t="s">
        <v>1604</v>
      </c>
      <c r="E112" s="1120">
        <v>0.2</v>
      </c>
      <c r="F112" s="1135">
        <v>30</v>
      </c>
    </row>
    <row r="113" spans="1:14" s="1086" customFormat="1" ht="24">
      <c r="A113" s="1135">
        <v>53</v>
      </c>
      <c r="B113" s="3648"/>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3648" t="s">
        <v>1613</v>
      </c>
      <c r="C116" s="1135" t="s">
        <v>1614</v>
      </c>
      <c r="D116" s="1049" t="s">
        <v>1615</v>
      </c>
      <c r="E116" s="1120">
        <v>0.2</v>
      </c>
      <c r="F116" s="1135">
        <v>30</v>
      </c>
    </row>
    <row r="117" spans="1:14" ht="36">
      <c r="A117" s="1135">
        <v>57</v>
      </c>
      <c r="B117" s="3648"/>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3647" t="s">
        <v>1622</v>
      </c>
      <c r="B121" s="3647"/>
      <c r="C121" s="3647"/>
      <c r="D121" s="3647"/>
      <c r="E121" s="3647"/>
      <c r="F121" s="3647"/>
      <c r="G121" s="3647"/>
      <c r="H121" s="3647"/>
      <c r="I121" s="3647"/>
      <c r="J121" s="3647"/>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649" t="s">
        <v>1028</v>
      </c>
      <c r="B1" s="3649"/>
      <c r="C1" s="3649"/>
      <c r="D1" s="3649"/>
      <c r="E1" s="3649"/>
      <c r="F1" s="3649"/>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3650" t="s">
        <v>1041</v>
      </c>
      <c r="B2" s="3650"/>
      <c r="C2" s="3650"/>
      <c r="D2" s="3650"/>
      <c r="E2" s="3650"/>
      <c r="F2" s="3650"/>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3651"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3652"/>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9350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0.96399999999999997</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5500.65平方米。根据《建设工程规划许可证》[]、《出让合同》[]，估价对象规划建筑面积为30803.628平方米。</v>
      </c>
    </row>
    <row r="7" spans="1:4" ht="56.25">
      <c r="A7" s="1708" t="s">
        <v>2725</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本次评估为委托估价方了解标的物之市场价格提供参考依据而评估国有建设用地使用权市场价格。</v>
      </c>
    </row>
    <row r="10" spans="1:4" ht="18.75">
      <c r="A10" s="1710" t="s">
        <v>2012</v>
      </c>
    </row>
    <row r="11" spans="1:4" ht="18.75">
      <c r="A11" s="1693" t="str">
        <f>TEXT(项目基本情况!D3,"yyyy年m月d日;;")&amp;IF(项目基本情况!B3=项目基本情况!D3,"（评估专业人员勘察现场之日）","")</f>
        <v>2021年8月16日</v>
      </c>
    </row>
    <row r="12" spans="1:4" ht="18.75">
      <c r="A12" s="1710" t="s">
        <v>2011</v>
      </c>
    </row>
    <row r="13" spans="1:4" ht="18.75">
      <c r="A13" s="1704" t="s">
        <v>2904</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根据《国有土地使用证》[]，估价对象（分摊）出让国有建设用地使用权面积为5500.65平方米。根据《建设工程规划许可证》[]、《出让合同》[]，估价对象规划建筑面积为30803.628平方米。</v>
      </c>
    </row>
    <row r="21" spans="1:1" ht="18.75">
      <c r="A21" s="1704" t="s">
        <v>2060</v>
      </c>
    </row>
    <row r="22" spans="1:1" ht="18.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4" t="str">
        <f>IF(项目基本情况!B16="出让","本次评估设定估价对象剩余土地使用年限为"&amp;项目基本情况!D20&amp;"。","")</f>
        <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IF(项目基本情况!B9="市场价格","——",IF(项目基本情况!E8="抵押价格",定义!C54,IF(项目基本情况!E8="已注销",定义!C55,定义!C56)))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653" t="s">
        <v>2065</v>
      </c>
      <c r="B1" s="3653"/>
    </row>
    <row r="2" spans="1:6" ht="14.25" thickBot="1">
      <c r="A2" s="1763"/>
      <c r="B2" s="1763"/>
    </row>
    <row r="3" spans="1:6" ht="14.25" thickBot="1">
      <c r="A3" s="1763"/>
      <c r="B3" s="1763"/>
      <c r="C3" s="1764" t="s">
        <v>2066</v>
      </c>
      <c r="D3" s="1764" t="s">
        <v>2067</v>
      </c>
      <c r="E3" s="1764" t="s">
        <v>2068</v>
      </c>
      <c r="F3" s="1764" t="s">
        <v>2069</v>
      </c>
    </row>
    <row r="4" spans="1:6" ht="14.25" thickBot="1">
      <c r="A4" s="1765" t="s">
        <v>2070</v>
      </c>
      <c r="B4" s="1766" t="s">
        <v>2071</v>
      </c>
      <c r="C4" s="1764"/>
      <c r="D4" s="1764"/>
      <c r="E4" s="1764"/>
      <c r="F4" s="1764"/>
    </row>
    <row r="5" spans="1:6" ht="14.25" thickBot="1">
      <c r="A5" s="1767" t="s">
        <v>2072</v>
      </c>
      <c r="B5" s="1768" t="s">
        <v>2073</v>
      </c>
      <c r="C5" s="1769">
        <v>8.8999999999999996E-2</v>
      </c>
      <c r="D5" s="1769">
        <v>7.3999999999999996E-2</v>
      </c>
      <c r="E5" s="1769">
        <v>7.4999999999999997E-2</v>
      </c>
      <c r="F5" s="1770">
        <v>0.1</v>
      </c>
    </row>
    <row r="6" spans="1:6" ht="14.25" thickBot="1">
      <c r="A6" s="1767" t="s">
        <v>1085</v>
      </c>
      <c r="B6" s="1771" t="s">
        <v>2074</v>
      </c>
      <c r="C6" s="1772">
        <v>0.1</v>
      </c>
      <c r="D6" s="1772">
        <v>9.0999999999999998E-2</v>
      </c>
      <c r="E6" s="1772">
        <v>9.0999999999999998E-2</v>
      </c>
      <c r="F6" s="1773">
        <v>0.1</v>
      </c>
    </row>
    <row r="7" spans="1:6" ht="14.25" thickBot="1">
      <c r="A7" s="1767" t="s">
        <v>1085</v>
      </c>
      <c r="B7" s="1774" t="s">
        <v>1073</v>
      </c>
      <c r="C7" s="1772">
        <v>8.5999999999999993E-2</v>
      </c>
      <c r="D7" s="1772">
        <v>9.6000000000000002E-2</v>
      </c>
      <c r="E7" s="1772">
        <v>7.5999999999999998E-2</v>
      </c>
      <c r="F7" s="1773">
        <v>0.1</v>
      </c>
    </row>
    <row r="8" spans="1:6" ht="14.25" thickBot="1">
      <c r="A8" s="1767" t="s">
        <v>1085</v>
      </c>
      <c r="B8" s="1771" t="s">
        <v>1086</v>
      </c>
      <c r="C8" s="1772">
        <v>9.9000000000000005E-2</v>
      </c>
      <c r="D8" s="1772">
        <v>9.8000000000000004E-2</v>
      </c>
      <c r="E8" s="1772">
        <v>9.8000000000000004E-2</v>
      </c>
      <c r="F8" s="1773">
        <v>0.1</v>
      </c>
    </row>
    <row r="9" spans="1:6" ht="14.25" thickBot="1">
      <c r="A9" s="1775" t="s">
        <v>1085</v>
      </c>
      <c r="B9" s="1776" t="s">
        <v>1100</v>
      </c>
      <c r="C9" s="1777">
        <v>0.05</v>
      </c>
      <c r="D9" s="1778"/>
      <c r="E9" s="1778"/>
      <c r="F9" s="1779"/>
    </row>
    <row r="10" spans="1:6" ht="14.25" thickBot="1">
      <c r="A10" s="1767" t="s">
        <v>1144</v>
      </c>
      <c r="B10" s="1768" t="s">
        <v>2075</v>
      </c>
      <c r="C10" s="1769">
        <v>8.8999999999999996E-2</v>
      </c>
      <c r="D10" s="1769">
        <v>7.2999999999999995E-2</v>
      </c>
      <c r="E10" s="1769">
        <v>8.2000000000000003E-2</v>
      </c>
      <c r="F10" s="1770">
        <v>0.1</v>
      </c>
    </row>
    <row r="11" spans="1:6" ht="14.25" thickBot="1">
      <c r="A11" s="1767" t="s">
        <v>1144</v>
      </c>
      <c r="B11" s="1774" t="s">
        <v>1060</v>
      </c>
      <c r="C11" s="1772">
        <v>8.8999999999999996E-2</v>
      </c>
      <c r="D11" s="1772">
        <v>7.2999999999999995E-2</v>
      </c>
      <c r="E11" s="1772">
        <v>8.2000000000000003E-2</v>
      </c>
      <c r="F11" s="1773">
        <v>0.1</v>
      </c>
    </row>
    <row r="12" spans="1:6" ht="14.25" thickBot="1">
      <c r="A12" s="1767" t="s">
        <v>1144</v>
      </c>
      <c r="B12" s="1774" t="s">
        <v>1074</v>
      </c>
      <c r="C12" s="1772">
        <v>6.0999999999999999E-2</v>
      </c>
      <c r="D12" s="1772">
        <v>7.0999999999999994E-2</v>
      </c>
      <c r="E12" s="1772">
        <v>9.6000000000000002E-2</v>
      </c>
      <c r="F12" s="1773">
        <v>0.1</v>
      </c>
    </row>
    <row r="13" spans="1:6" ht="14.25" thickBot="1">
      <c r="A13" s="1767" t="s">
        <v>1144</v>
      </c>
      <c r="B13" s="1774" t="s">
        <v>1087</v>
      </c>
      <c r="C13" s="1772">
        <v>6.9000000000000006E-2</v>
      </c>
      <c r="D13" s="1772">
        <v>6.5000000000000002E-2</v>
      </c>
      <c r="E13" s="1772">
        <v>6.6000000000000003E-2</v>
      </c>
      <c r="F13" s="1773">
        <v>0.1</v>
      </c>
    </row>
    <row r="14" spans="1:6" ht="14.25" thickBot="1">
      <c r="A14" s="1767" t="s">
        <v>1144</v>
      </c>
      <c r="B14" s="1774" t="s">
        <v>1101</v>
      </c>
      <c r="C14" s="1772">
        <v>0.1</v>
      </c>
      <c r="D14" s="1772">
        <v>6.5000000000000002E-2</v>
      </c>
      <c r="E14" s="1772">
        <v>7.0000000000000007E-2</v>
      </c>
      <c r="F14" s="1773">
        <v>0.1</v>
      </c>
    </row>
    <row r="15" spans="1:6" ht="14.25" thickBot="1">
      <c r="A15" s="1767" t="s">
        <v>1144</v>
      </c>
      <c r="B15" s="1774" t="s">
        <v>1112</v>
      </c>
      <c r="C15" s="1772">
        <v>9.8000000000000004E-2</v>
      </c>
      <c r="D15" s="1772">
        <v>8.8999999999999996E-2</v>
      </c>
      <c r="E15" s="1772">
        <v>8.8999999999999996E-2</v>
      </c>
      <c r="F15" s="1773">
        <v>0.1</v>
      </c>
    </row>
    <row r="16" spans="1:6" ht="14.25" thickBot="1">
      <c r="A16" s="1767" t="s">
        <v>1144</v>
      </c>
      <c r="B16" s="1774" t="s">
        <v>1123</v>
      </c>
      <c r="C16" s="1772">
        <v>7.0000000000000007E-2</v>
      </c>
      <c r="D16" s="1772">
        <v>9.2999999999999999E-2</v>
      </c>
      <c r="E16" s="1772">
        <v>9.6000000000000002E-2</v>
      </c>
      <c r="F16" s="1773">
        <v>0.1</v>
      </c>
    </row>
    <row r="17" spans="1:6" ht="14.25" thickBot="1">
      <c r="A17" s="1767" t="s">
        <v>1144</v>
      </c>
      <c r="B17" s="1774" t="s">
        <v>1134</v>
      </c>
      <c r="C17" s="1772">
        <v>9.5000000000000001E-2</v>
      </c>
      <c r="D17" s="1772">
        <v>0.1</v>
      </c>
      <c r="E17" s="1772">
        <v>0.1</v>
      </c>
      <c r="F17" s="1780"/>
    </row>
    <row r="18" spans="1:6" ht="14.25" thickBot="1">
      <c r="A18" s="1767" t="s">
        <v>1144</v>
      </c>
      <c r="B18" s="1774" t="s">
        <v>1146</v>
      </c>
      <c r="C18" s="1772">
        <v>7.3999999999999996E-2</v>
      </c>
      <c r="D18" s="1772">
        <v>9.9000000000000005E-2</v>
      </c>
      <c r="E18" s="1772">
        <v>0.1</v>
      </c>
      <c r="F18" s="1780"/>
    </row>
    <row r="19" spans="1:6" ht="14.25" thickBot="1">
      <c r="A19" s="1767" t="s">
        <v>1144</v>
      </c>
      <c r="B19" s="1774" t="s">
        <v>1156</v>
      </c>
      <c r="C19" s="1772">
        <v>9.9000000000000005E-2</v>
      </c>
      <c r="D19" s="1772">
        <v>7.5999999999999998E-2</v>
      </c>
      <c r="E19" s="1772">
        <v>8.6999999999999994E-2</v>
      </c>
      <c r="F19" s="1780"/>
    </row>
    <row r="20" spans="1:6" ht="14.25" thickBot="1">
      <c r="A20" s="1767" t="s">
        <v>1144</v>
      </c>
      <c r="B20" s="1774" t="s">
        <v>1166</v>
      </c>
      <c r="C20" s="1772">
        <v>9.8000000000000004E-2</v>
      </c>
      <c r="D20" s="1772">
        <v>8.5000000000000006E-2</v>
      </c>
      <c r="E20" s="1772">
        <v>8.2000000000000003E-2</v>
      </c>
      <c r="F20" s="1780"/>
    </row>
    <row r="21" spans="1:6" ht="14.25" thickBot="1">
      <c r="A21" s="1767" t="s">
        <v>1144</v>
      </c>
      <c r="B21" s="1774" t="s">
        <v>1176</v>
      </c>
      <c r="C21" s="1772">
        <v>6.6000000000000003E-2</v>
      </c>
      <c r="D21" s="1772">
        <v>6.4000000000000001E-2</v>
      </c>
      <c r="E21" s="1772">
        <v>6.5000000000000002E-2</v>
      </c>
      <c r="F21" s="1780"/>
    </row>
    <row r="22" spans="1:6" ht="14.25" thickBot="1">
      <c r="A22" s="1767" t="s">
        <v>1144</v>
      </c>
      <c r="B22" s="1774" t="s">
        <v>2076</v>
      </c>
      <c r="C22" s="1772">
        <v>0.08</v>
      </c>
      <c r="D22" s="1772">
        <v>9.8000000000000004E-2</v>
      </c>
      <c r="E22" s="1772">
        <v>9.8000000000000004E-2</v>
      </c>
      <c r="F22" s="1780"/>
    </row>
    <row r="23" spans="1:6" ht="14.25" thickBot="1">
      <c r="A23" s="1767" t="s">
        <v>1144</v>
      </c>
      <c r="B23" s="1774" t="s">
        <v>1196</v>
      </c>
      <c r="C23" s="1772">
        <v>9.9000000000000005E-2</v>
      </c>
      <c r="D23" s="1772">
        <v>9.8000000000000004E-2</v>
      </c>
      <c r="E23" s="1772">
        <v>9.0999999999999998E-2</v>
      </c>
      <c r="F23" s="1780"/>
    </row>
    <row r="24" spans="1:6" ht="14.25" thickBot="1">
      <c r="A24" s="1767" t="s">
        <v>1144</v>
      </c>
      <c r="B24" s="1774" t="s">
        <v>1206</v>
      </c>
      <c r="C24" s="1772">
        <v>8.8999999999999996E-2</v>
      </c>
      <c r="D24" s="1772">
        <v>9.7000000000000003E-2</v>
      </c>
      <c r="E24" s="1772">
        <v>7.0000000000000007E-2</v>
      </c>
      <c r="F24" s="1780"/>
    </row>
    <row r="25" spans="1:6" ht="14.25" thickBot="1">
      <c r="A25" s="1767" t="s">
        <v>1144</v>
      </c>
      <c r="B25" s="1774" t="s">
        <v>1216</v>
      </c>
      <c r="C25" s="1772">
        <v>8.8999999999999996E-2</v>
      </c>
      <c r="D25" s="1772">
        <v>0.1</v>
      </c>
      <c r="E25" s="1772">
        <v>8.1000000000000003E-2</v>
      </c>
      <c r="F25" s="1780"/>
    </row>
    <row r="26" spans="1:6" ht="14.25" thickBot="1">
      <c r="A26" s="1767" t="s">
        <v>1144</v>
      </c>
      <c r="B26" s="1774" t="s">
        <v>1226</v>
      </c>
      <c r="C26" s="1781"/>
      <c r="D26" s="1772">
        <v>9.6000000000000002E-2</v>
      </c>
      <c r="E26" s="1772">
        <v>9.2999999999999999E-2</v>
      </c>
      <c r="F26" s="1780"/>
    </row>
    <row r="27" spans="1:6" ht="14.25" thickBot="1">
      <c r="A27" s="1767" t="s">
        <v>1144</v>
      </c>
      <c r="B27" s="1774" t="s">
        <v>1236</v>
      </c>
      <c r="C27" s="1781"/>
      <c r="D27" s="1772">
        <v>7.5999999999999998E-2</v>
      </c>
      <c r="E27" s="1772">
        <v>9.1999999999999998E-2</v>
      </c>
      <c r="F27" s="1780"/>
    </row>
    <row r="28" spans="1:6" ht="14.25" thickBot="1">
      <c r="A28" s="1775" t="s">
        <v>1144</v>
      </c>
      <c r="B28" s="1776" t="s">
        <v>1246</v>
      </c>
      <c r="C28" s="1778"/>
      <c r="D28" s="1777">
        <v>7.5999999999999998E-2</v>
      </c>
      <c r="E28" s="1777">
        <v>9.1999999999999998E-2</v>
      </c>
      <c r="F28" s="1779"/>
    </row>
    <row r="29" spans="1:6" ht="14.25" thickBot="1">
      <c r="A29" s="1767" t="s">
        <v>1315</v>
      </c>
      <c r="B29" s="1768" t="s">
        <v>2077</v>
      </c>
      <c r="C29" s="1769">
        <v>6.4000000000000001E-2</v>
      </c>
      <c r="D29" s="1769">
        <v>6.5000000000000002E-2</v>
      </c>
      <c r="E29" s="1769">
        <v>6.9000000000000006E-2</v>
      </c>
      <c r="F29" s="1770">
        <v>0.1</v>
      </c>
    </row>
    <row r="30" spans="1:6" ht="14.25" thickBot="1">
      <c r="A30" s="1767" t="s">
        <v>1315</v>
      </c>
      <c r="B30" s="1774" t="s">
        <v>1061</v>
      </c>
      <c r="C30" s="1772">
        <v>6.4000000000000001E-2</v>
      </c>
      <c r="D30" s="1772">
        <v>9.9000000000000005E-2</v>
      </c>
      <c r="E30" s="1772">
        <v>0.1</v>
      </c>
      <c r="F30" s="1773">
        <v>0.1</v>
      </c>
    </row>
    <row r="31" spans="1:6" ht="14.25" thickBot="1">
      <c r="A31" s="1767" t="s">
        <v>1315</v>
      </c>
      <c r="B31" s="1774" t="s">
        <v>1075</v>
      </c>
      <c r="C31" s="1772">
        <v>0.1</v>
      </c>
      <c r="D31" s="1772">
        <v>9.5000000000000001E-2</v>
      </c>
      <c r="E31" s="1772">
        <v>8.8999999999999996E-2</v>
      </c>
      <c r="F31" s="1773">
        <v>0.1</v>
      </c>
    </row>
    <row r="32" spans="1:6" ht="14.25" thickBot="1">
      <c r="A32" s="1767" t="s">
        <v>1315</v>
      </c>
      <c r="B32" s="1774" t="s">
        <v>1088</v>
      </c>
      <c r="C32" s="1772">
        <v>0.05</v>
      </c>
      <c r="D32" s="1772">
        <v>0.05</v>
      </c>
      <c r="E32" s="1772">
        <v>8.7999999999999995E-2</v>
      </c>
      <c r="F32" s="1773">
        <v>0.1</v>
      </c>
    </row>
    <row r="33" spans="1:6" ht="14.25" thickBot="1">
      <c r="A33" s="1767" t="s">
        <v>1315</v>
      </c>
      <c r="B33" s="1774" t="s">
        <v>1102</v>
      </c>
      <c r="C33" s="1772">
        <v>7.4999999999999997E-2</v>
      </c>
      <c r="D33" s="1772">
        <v>9.4E-2</v>
      </c>
      <c r="E33" s="1772">
        <v>9.7000000000000003E-2</v>
      </c>
      <c r="F33" s="1773">
        <v>0.1</v>
      </c>
    </row>
    <row r="34" spans="1:6" ht="14.25" thickBot="1">
      <c r="A34" s="1767" t="s">
        <v>1315</v>
      </c>
      <c r="B34" s="1774" t="s">
        <v>1113</v>
      </c>
      <c r="C34" s="1772">
        <v>9.8000000000000004E-2</v>
      </c>
      <c r="D34" s="1772">
        <v>8.5999999999999993E-2</v>
      </c>
      <c r="E34" s="1772">
        <v>9.7000000000000003E-2</v>
      </c>
      <c r="F34" s="1773">
        <v>0.1</v>
      </c>
    </row>
    <row r="35" spans="1:6" ht="14.25" thickBot="1">
      <c r="A35" s="1767" t="s">
        <v>1315</v>
      </c>
      <c r="B35" s="1774" t="s">
        <v>1124</v>
      </c>
      <c r="C35" s="1772">
        <v>5.8999999999999997E-2</v>
      </c>
      <c r="D35" s="1772">
        <v>6.5000000000000002E-2</v>
      </c>
      <c r="E35" s="1772">
        <v>7.0000000000000007E-2</v>
      </c>
      <c r="F35" s="1773">
        <v>0.1</v>
      </c>
    </row>
    <row r="36" spans="1:6" ht="14.25" thickBot="1">
      <c r="A36" s="1767" t="s">
        <v>1315</v>
      </c>
      <c r="B36" s="1774" t="s">
        <v>1135</v>
      </c>
      <c r="C36" s="1772">
        <v>6.3E-2</v>
      </c>
      <c r="D36" s="1772">
        <v>0.1</v>
      </c>
      <c r="E36" s="1772">
        <v>0.1</v>
      </c>
      <c r="F36" s="1773">
        <v>0.1</v>
      </c>
    </row>
    <row r="37" spans="1:6" ht="14.25" thickBot="1">
      <c r="A37" s="1767" t="s">
        <v>1315</v>
      </c>
      <c r="B37" s="1774" t="s">
        <v>1147</v>
      </c>
      <c r="C37" s="1772">
        <v>7.3999999999999996E-2</v>
      </c>
      <c r="D37" s="1772">
        <v>0.1</v>
      </c>
      <c r="E37" s="1772">
        <v>0.1</v>
      </c>
      <c r="F37" s="1773">
        <v>0.1</v>
      </c>
    </row>
    <row r="38" spans="1:6" ht="14.25" thickBot="1">
      <c r="A38" s="1767" t="s">
        <v>1315</v>
      </c>
      <c r="B38" s="1774" t="s">
        <v>1157</v>
      </c>
      <c r="C38" s="1772">
        <v>0.1</v>
      </c>
      <c r="D38" s="1772">
        <v>9.6000000000000002E-2</v>
      </c>
      <c r="E38" s="1772">
        <v>9.6000000000000002E-2</v>
      </c>
      <c r="F38" s="1780"/>
    </row>
    <row r="39" spans="1:6" ht="14.25" thickBot="1">
      <c r="A39" s="1767" t="s">
        <v>1315</v>
      </c>
      <c r="B39" s="1774" t="s">
        <v>1167</v>
      </c>
      <c r="C39" s="1772">
        <v>0.1</v>
      </c>
      <c r="D39" s="1772">
        <v>9.6000000000000002E-2</v>
      </c>
      <c r="E39" s="1772">
        <v>9.6000000000000002E-2</v>
      </c>
      <c r="F39" s="1780"/>
    </row>
    <row r="40" spans="1:6" ht="14.25" thickBot="1">
      <c r="A40" s="1767" t="s">
        <v>1315</v>
      </c>
      <c r="B40" s="1774" t="s">
        <v>1177</v>
      </c>
      <c r="C40" s="1772">
        <v>9.6000000000000002E-2</v>
      </c>
      <c r="D40" s="1772">
        <v>0.1</v>
      </c>
      <c r="E40" s="1772">
        <v>9.9000000000000005E-2</v>
      </c>
      <c r="F40" s="1780"/>
    </row>
    <row r="41" spans="1:6" ht="14.25" thickBot="1">
      <c r="A41" s="1767" t="s">
        <v>1315</v>
      </c>
      <c r="B41" s="1774" t="s">
        <v>1187</v>
      </c>
      <c r="C41" s="1772">
        <v>9.6000000000000002E-2</v>
      </c>
      <c r="D41" s="1772">
        <v>9.8000000000000004E-2</v>
      </c>
      <c r="E41" s="1772">
        <v>9.8000000000000004E-2</v>
      </c>
      <c r="F41" s="1780"/>
    </row>
    <row r="42" spans="1:6" ht="14.25" thickBot="1">
      <c r="A42" s="1767" t="s">
        <v>1315</v>
      </c>
      <c r="B42" s="1774" t="s">
        <v>1197</v>
      </c>
      <c r="C42" s="1772">
        <v>0.1</v>
      </c>
      <c r="D42" s="1772">
        <v>8.7999999999999995E-2</v>
      </c>
      <c r="E42" s="1772">
        <v>0.1</v>
      </c>
      <c r="F42" s="1780"/>
    </row>
    <row r="43" spans="1:6" ht="14.25" thickBot="1">
      <c r="A43" s="1767" t="s">
        <v>1315</v>
      </c>
      <c r="B43" s="1774" t="s">
        <v>1207</v>
      </c>
      <c r="C43" s="1772">
        <v>9.8000000000000004E-2</v>
      </c>
      <c r="D43" s="1772">
        <v>9.7000000000000003E-2</v>
      </c>
      <c r="E43" s="1772">
        <v>9.6000000000000002E-2</v>
      </c>
      <c r="F43" s="1780"/>
    </row>
    <row r="44" spans="1:6" ht="14.25" thickBot="1">
      <c r="A44" s="1767" t="s">
        <v>1315</v>
      </c>
      <c r="B44" s="1774" t="s">
        <v>1217</v>
      </c>
      <c r="C44" s="1772">
        <v>8.5999999999999993E-2</v>
      </c>
      <c r="D44" s="1772">
        <v>7.9000000000000001E-2</v>
      </c>
      <c r="E44" s="1772">
        <v>7.0999999999999994E-2</v>
      </c>
      <c r="F44" s="1780"/>
    </row>
    <row r="45" spans="1:6" ht="14.25" thickBot="1">
      <c r="A45" s="1767" t="s">
        <v>1315</v>
      </c>
      <c r="B45" s="1774" t="s">
        <v>1227</v>
      </c>
      <c r="C45" s="1772">
        <v>9.8000000000000004E-2</v>
      </c>
      <c r="D45" s="1772">
        <v>9.6000000000000002E-2</v>
      </c>
      <c r="E45" s="1772">
        <v>9.6000000000000002E-2</v>
      </c>
      <c r="F45" s="1780"/>
    </row>
    <row r="46" spans="1:6" ht="14.25" thickBot="1">
      <c r="A46" s="1767" t="s">
        <v>1315</v>
      </c>
      <c r="B46" s="1774" t="s">
        <v>1237</v>
      </c>
      <c r="C46" s="1772">
        <v>8.5999999999999993E-2</v>
      </c>
      <c r="D46" s="1772">
        <v>9.8000000000000004E-2</v>
      </c>
      <c r="E46" s="1772">
        <v>8.7999999999999995E-2</v>
      </c>
      <c r="F46" s="1780"/>
    </row>
    <row r="47" spans="1:6" ht="14.25" thickBot="1">
      <c r="A47" s="1767" t="s">
        <v>1315</v>
      </c>
      <c r="B47" s="1774" t="s">
        <v>1247</v>
      </c>
      <c r="C47" s="1772">
        <v>9.6000000000000002E-2</v>
      </c>
      <c r="D47" s="1781"/>
      <c r="E47" s="1772">
        <v>6.9000000000000006E-2</v>
      </c>
      <c r="F47" s="1780"/>
    </row>
    <row r="48" spans="1:6" ht="14.25" thickBot="1">
      <c r="A48" s="1775" t="s">
        <v>1315</v>
      </c>
      <c r="B48" s="1776" t="s">
        <v>1256</v>
      </c>
      <c r="C48" s="1777">
        <v>9.8000000000000004E-2</v>
      </c>
      <c r="D48" s="1778"/>
      <c r="E48" s="1777">
        <v>9.5000000000000001E-2</v>
      </c>
      <c r="F48" s="1779"/>
    </row>
    <row r="49" spans="1:6" ht="14.25" thickBot="1">
      <c r="A49" s="1767" t="s">
        <v>914</v>
      </c>
      <c r="B49" s="1768" t="s">
        <v>2078</v>
      </c>
      <c r="C49" s="1769">
        <v>9.7000000000000003E-2</v>
      </c>
      <c r="D49" s="1769">
        <v>9.5000000000000001E-2</v>
      </c>
      <c r="E49" s="1769">
        <v>9.7000000000000003E-2</v>
      </c>
      <c r="F49" s="1770">
        <v>0.1</v>
      </c>
    </row>
    <row r="50" spans="1:6" ht="14.25" thickBot="1">
      <c r="A50" s="1767" t="s">
        <v>914</v>
      </c>
      <c r="B50" s="1771" t="s">
        <v>1062</v>
      </c>
      <c r="C50" s="1772">
        <v>7.4999999999999997E-2</v>
      </c>
      <c r="D50" s="1772">
        <v>9.5000000000000001E-2</v>
      </c>
      <c r="E50" s="1772">
        <v>0.1</v>
      </c>
      <c r="F50" s="1773">
        <v>0.1</v>
      </c>
    </row>
    <row r="51" spans="1:6" ht="14.25" thickBot="1">
      <c r="A51" s="1767" t="s">
        <v>914</v>
      </c>
      <c r="B51" s="1771" t="s">
        <v>1076</v>
      </c>
      <c r="C51" s="1772">
        <v>9.8000000000000004E-2</v>
      </c>
      <c r="D51" s="1772">
        <v>8.8999999999999996E-2</v>
      </c>
      <c r="E51" s="1772">
        <v>0.1</v>
      </c>
      <c r="F51" s="1773">
        <v>0.1</v>
      </c>
    </row>
    <row r="52" spans="1:6" ht="14.25" thickBot="1">
      <c r="A52" s="1767" t="s">
        <v>914</v>
      </c>
      <c r="B52" s="1771" t="s">
        <v>1089</v>
      </c>
      <c r="C52" s="1772">
        <v>9.8000000000000004E-2</v>
      </c>
      <c r="D52" s="1772">
        <v>9.7000000000000003E-2</v>
      </c>
      <c r="E52" s="1772">
        <v>8.1000000000000003E-2</v>
      </c>
      <c r="F52" s="1773">
        <v>0.1</v>
      </c>
    </row>
    <row r="53" spans="1:6" ht="14.25" thickBot="1">
      <c r="A53" s="1767" t="s">
        <v>914</v>
      </c>
      <c r="B53" s="1771" t="s">
        <v>1103</v>
      </c>
      <c r="C53" s="1772">
        <v>9.7000000000000003E-2</v>
      </c>
      <c r="D53" s="1772">
        <v>7.5999999999999998E-2</v>
      </c>
      <c r="E53" s="1772">
        <v>7.0999999999999994E-2</v>
      </c>
      <c r="F53" s="1773">
        <v>0.1</v>
      </c>
    </row>
    <row r="54" spans="1:6" ht="14.25" thickBot="1">
      <c r="A54" s="1767" t="s">
        <v>914</v>
      </c>
      <c r="B54" s="1771" t="s">
        <v>1114</v>
      </c>
      <c r="C54" s="1772">
        <v>7.5999999999999998E-2</v>
      </c>
      <c r="D54" s="1772">
        <v>0.1</v>
      </c>
      <c r="E54" s="1772">
        <v>9.9000000000000005E-2</v>
      </c>
      <c r="F54" s="1773">
        <v>0.1</v>
      </c>
    </row>
    <row r="55" spans="1:6" ht="14.25" thickBot="1">
      <c r="A55" s="1767" t="s">
        <v>914</v>
      </c>
      <c r="B55" s="1771" t="s">
        <v>1125</v>
      </c>
      <c r="C55" s="1772">
        <v>0.1</v>
      </c>
      <c r="D55" s="1772">
        <v>0.1</v>
      </c>
      <c r="E55" s="1772">
        <v>9.6000000000000002E-2</v>
      </c>
      <c r="F55" s="1773">
        <v>0.1</v>
      </c>
    </row>
    <row r="56" spans="1:6" ht="14.25" thickBot="1">
      <c r="A56" s="1767" t="s">
        <v>914</v>
      </c>
      <c r="B56" s="1771" t="s">
        <v>1136</v>
      </c>
      <c r="C56" s="1772">
        <v>0.1</v>
      </c>
      <c r="D56" s="1772">
        <v>9.6000000000000002E-2</v>
      </c>
      <c r="E56" s="1772">
        <v>5.1999999999999998E-2</v>
      </c>
      <c r="F56" s="1773">
        <v>0.1</v>
      </c>
    </row>
    <row r="57" spans="1:6" ht="14.25" thickBot="1">
      <c r="A57" s="1767" t="s">
        <v>914</v>
      </c>
      <c r="B57" s="1771" t="s">
        <v>1148</v>
      </c>
      <c r="C57" s="1772">
        <v>9.7000000000000003E-2</v>
      </c>
      <c r="D57" s="1772">
        <v>9.6000000000000002E-2</v>
      </c>
      <c r="E57" s="1772">
        <v>9.6000000000000002E-2</v>
      </c>
      <c r="F57" s="1773">
        <v>0.1</v>
      </c>
    </row>
    <row r="58" spans="1:6" ht="14.25" thickBot="1">
      <c r="A58" s="1767" t="s">
        <v>914</v>
      </c>
      <c r="B58" s="1771" t="s">
        <v>1158</v>
      </c>
      <c r="C58" s="1772">
        <v>9.6000000000000002E-2</v>
      </c>
      <c r="D58" s="1772">
        <v>9.9000000000000005E-2</v>
      </c>
      <c r="E58" s="1772">
        <v>9.6000000000000002E-2</v>
      </c>
      <c r="F58" s="1773">
        <v>0.1</v>
      </c>
    </row>
    <row r="59" spans="1:6" ht="14.25" thickBot="1">
      <c r="A59" s="1767" t="s">
        <v>914</v>
      </c>
      <c r="B59" s="1771" t="s">
        <v>1168</v>
      </c>
      <c r="C59" s="1772">
        <v>7.1999999999999995E-2</v>
      </c>
      <c r="D59" s="1772">
        <v>9.6000000000000002E-2</v>
      </c>
      <c r="E59" s="1772">
        <v>7.0999999999999994E-2</v>
      </c>
      <c r="F59" s="1773">
        <v>0.1</v>
      </c>
    </row>
    <row r="60" spans="1:6" ht="14.25" thickBot="1">
      <c r="A60" s="1767" t="s">
        <v>914</v>
      </c>
      <c r="B60" s="1771" t="s">
        <v>1178</v>
      </c>
      <c r="C60" s="1772">
        <v>9.6000000000000002E-2</v>
      </c>
      <c r="D60" s="1772">
        <v>8.8999999999999996E-2</v>
      </c>
      <c r="E60" s="1772">
        <v>9.6000000000000002E-2</v>
      </c>
      <c r="F60" s="1773">
        <v>0.1</v>
      </c>
    </row>
    <row r="61" spans="1:6" ht="14.25" thickBot="1">
      <c r="A61" s="1767" t="s">
        <v>914</v>
      </c>
      <c r="B61" s="1771" t="s">
        <v>1188</v>
      </c>
      <c r="C61" s="1772">
        <v>8.8999999999999996E-2</v>
      </c>
      <c r="D61" s="1772">
        <v>9.8000000000000004E-2</v>
      </c>
      <c r="E61" s="1772">
        <v>8.7999999999999995E-2</v>
      </c>
      <c r="F61" s="1780"/>
    </row>
    <row r="62" spans="1:6" ht="14.25" thickBot="1">
      <c r="A62" s="1767" t="s">
        <v>914</v>
      </c>
      <c r="B62" s="1771" t="s">
        <v>1198</v>
      </c>
      <c r="C62" s="1772">
        <v>9.8000000000000004E-2</v>
      </c>
      <c r="D62" s="1772">
        <v>9.2999999999999999E-2</v>
      </c>
      <c r="E62" s="1772">
        <v>9.7000000000000003E-2</v>
      </c>
      <c r="F62" s="1780"/>
    </row>
    <row r="63" spans="1:6" ht="14.25" thickBot="1">
      <c r="A63" s="1767" t="s">
        <v>914</v>
      </c>
      <c r="B63" s="1771" t="s">
        <v>1208</v>
      </c>
      <c r="C63" s="1772">
        <v>9.6000000000000002E-2</v>
      </c>
      <c r="D63" s="1772">
        <v>9.8000000000000004E-2</v>
      </c>
      <c r="E63" s="1772">
        <v>0.09</v>
      </c>
      <c r="F63" s="1780"/>
    </row>
    <row r="64" spans="1:6" ht="14.25" thickBot="1">
      <c r="A64" s="1767" t="s">
        <v>914</v>
      </c>
      <c r="B64" s="1771" t="s">
        <v>1218</v>
      </c>
      <c r="C64" s="1772">
        <v>9.9000000000000005E-2</v>
      </c>
      <c r="D64" s="1772">
        <v>9.7000000000000003E-2</v>
      </c>
      <c r="E64" s="1772">
        <v>9.9000000000000005E-2</v>
      </c>
      <c r="F64" s="1780"/>
    </row>
    <row r="65" spans="1:6" ht="14.25" thickBot="1">
      <c r="A65" s="1767" t="s">
        <v>914</v>
      </c>
      <c r="B65" s="1771" t="s">
        <v>1228</v>
      </c>
      <c r="C65" s="1772">
        <v>9.8000000000000004E-2</v>
      </c>
      <c r="D65" s="1772">
        <v>9.6000000000000002E-2</v>
      </c>
      <c r="E65" s="1772">
        <v>9.6000000000000002E-2</v>
      </c>
      <c r="F65" s="1780"/>
    </row>
    <row r="66" spans="1:6" ht="14.25" thickBot="1">
      <c r="A66" s="1767" t="s">
        <v>914</v>
      </c>
      <c r="B66" s="1771" t="s">
        <v>1238</v>
      </c>
      <c r="C66" s="1772">
        <v>9.6000000000000002E-2</v>
      </c>
      <c r="D66" s="1772">
        <v>9.1999999999999998E-2</v>
      </c>
      <c r="E66" s="1772">
        <v>9.6000000000000002E-2</v>
      </c>
      <c r="F66" s="1780"/>
    </row>
    <row r="67" spans="1:6" ht="14.25" thickBot="1">
      <c r="A67" s="1767" t="s">
        <v>914</v>
      </c>
      <c r="B67" s="1771" t="s">
        <v>1248</v>
      </c>
      <c r="C67" s="1772">
        <v>9.4E-2</v>
      </c>
      <c r="D67" s="1772">
        <v>0.1</v>
      </c>
      <c r="E67" s="1772">
        <v>8.7999999999999995E-2</v>
      </c>
      <c r="F67" s="1780"/>
    </row>
    <row r="68" spans="1:6" ht="14.25" thickBot="1">
      <c r="A68" s="1767" t="s">
        <v>914</v>
      </c>
      <c r="B68" s="1771" t="s">
        <v>1257</v>
      </c>
      <c r="C68" s="1772">
        <v>0.1</v>
      </c>
      <c r="D68" s="1772">
        <v>8.7999999999999995E-2</v>
      </c>
      <c r="E68" s="1772">
        <v>9.7000000000000003E-2</v>
      </c>
      <c r="F68" s="1780"/>
    </row>
    <row r="69" spans="1:6" ht="14.25" thickBot="1">
      <c r="A69" s="1767" t="s">
        <v>914</v>
      </c>
      <c r="B69" s="1771" t="s">
        <v>1266</v>
      </c>
      <c r="C69" s="1772">
        <v>6.4000000000000001E-2</v>
      </c>
      <c r="D69" s="1772">
        <v>0.1</v>
      </c>
      <c r="E69" s="1772">
        <v>0.1</v>
      </c>
      <c r="F69" s="1780"/>
    </row>
    <row r="70" spans="1:6" ht="14.25" thickBot="1">
      <c r="A70" s="1767" t="s">
        <v>914</v>
      </c>
      <c r="B70" s="1771" t="s">
        <v>1274</v>
      </c>
      <c r="C70" s="1772">
        <v>9.0999999999999998E-2</v>
      </c>
      <c r="D70" s="1781"/>
      <c r="E70" s="1781"/>
      <c r="F70" s="1780"/>
    </row>
    <row r="71" spans="1:6" ht="14.25" thickBot="1">
      <c r="A71" s="1767" t="s">
        <v>914</v>
      </c>
      <c r="B71" s="1771" t="s">
        <v>1281</v>
      </c>
      <c r="C71" s="1772">
        <v>0.1</v>
      </c>
      <c r="D71" s="1781"/>
      <c r="E71" s="1781"/>
      <c r="F71" s="1780"/>
    </row>
    <row r="72" spans="1:6" ht="14.25" thickBot="1">
      <c r="A72" s="1767" t="s">
        <v>914</v>
      </c>
      <c r="B72" s="1771" t="s">
        <v>2079</v>
      </c>
      <c r="C72" s="1781"/>
      <c r="D72" s="1781"/>
      <c r="E72" s="1781"/>
      <c r="F72" s="1773">
        <v>0.05</v>
      </c>
    </row>
    <row r="73" spans="1:6" ht="14.25" thickBot="1">
      <c r="A73" s="1767" t="s">
        <v>914</v>
      </c>
      <c r="B73" s="1771" t="s">
        <v>2080</v>
      </c>
      <c r="C73" s="1781"/>
      <c r="D73" s="1781"/>
      <c r="E73" s="1781"/>
      <c r="F73" s="1773">
        <v>0.05</v>
      </c>
    </row>
    <row r="74" spans="1:6" ht="14.25" thickBot="1">
      <c r="A74" s="1767" t="s">
        <v>914</v>
      </c>
      <c r="B74" s="1771" t="s">
        <v>2081</v>
      </c>
      <c r="C74" s="1781"/>
      <c r="D74" s="1781"/>
      <c r="E74" s="1781"/>
      <c r="F74" s="1773">
        <v>0.05</v>
      </c>
    </row>
    <row r="75" spans="1:6" ht="14.25" thickBot="1">
      <c r="A75" s="1775" t="s">
        <v>914</v>
      </c>
      <c r="B75" s="1782" t="s">
        <v>2082</v>
      </c>
      <c r="C75" s="1778"/>
      <c r="D75" s="1778"/>
      <c r="E75" s="1778"/>
      <c r="F75" s="1783">
        <v>0.05</v>
      </c>
    </row>
    <row r="76" spans="1:6" ht="14.25" thickBot="1">
      <c r="A76" s="1767" t="s">
        <v>1396</v>
      </c>
      <c r="B76" s="1768" t="s">
        <v>2083</v>
      </c>
      <c r="C76" s="1769">
        <v>0.1</v>
      </c>
      <c r="D76" s="1769">
        <v>0.1</v>
      </c>
      <c r="E76" s="1769">
        <v>0.1</v>
      </c>
      <c r="F76" s="1770">
        <v>0.1</v>
      </c>
    </row>
    <row r="77" spans="1:6" ht="14.25" thickBot="1">
      <c r="A77" s="1767" t="s">
        <v>1396</v>
      </c>
      <c r="B77" s="1771" t="s">
        <v>1063</v>
      </c>
      <c r="C77" s="1772">
        <v>8.7999999999999995E-2</v>
      </c>
      <c r="D77" s="1772">
        <v>8.6999999999999994E-2</v>
      </c>
      <c r="E77" s="1772">
        <v>7.9000000000000001E-2</v>
      </c>
      <c r="F77" s="1773">
        <v>0.1</v>
      </c>
    </row>
    <row r="78" spans="1:6" ht="14.25" thickBot="1">
      <c r="A78" s="1767" t="s">
        <v>1396</v>
      </c>
      <c r="B78" s="1771" t="s">
        <v>1077</v>
      </c>
      <c r="C78" s="1772">
        <v>8.6999999999999994E-2</v>
      </c>
      <c r="D78" s="1772">
        <v>8.4000000000000005E-2</v>
      </c>
      <c r="E78" s="1772">
        <v>9.6000000000000002E-2</v>
      </c>
      <c r="F78" s="1773">
        <v>0.1</v>
      </c>
    </row>
    <row r="79" spans="1:6" ht="14.25" thickBot="1">
      <c r="A79" s="1767" t="s">
        <v>1396</v>
      </c>
      <c r="B79" s="1771" t="s">
        <v>1090</v>
      </c>
      <c r="C79" s="1772">
        <v>9.8000000000000004E-2</v>
      </c>
      <c r="D79" s="1772">
        <v>9.8000000000000004E-2</v>
      </c>
      <c r="E79" s="1772">
        <v>9.0999999999999998E-2</v>
      </c>
      <c r="F79" s="1773">
        <v>0.1</v>
      </c>
    </row>
    <row r="80" spans="1:6" ht="14.25" thickBot="1">
      <c r="A80" s="1767" t="s">
        <v>1396</v>
      </c>
      <c r="B80" s="1771" t="s">
        <v>1104</v>
      </c>
      <c r="C80" s="1772">
        <v>9.6000000000000002E-2</v>
      </c>
      <c r="D80" s="1772">
        <v>9.6000000000000002E-2</v>
      </c>
      <c r="E80" s="1772">
        <v>0.1</v>
      </c>
      <c r="F80" s="1773">
        <v>0.1</v>
      </c>
    </row>
    <row r="81" spans="1:6" ht="14.25" thickBot="1">
      <c r="A81" s="1767" t="s">
        <v>1396</v>
      </c>
      <c r="B81" s="1771" t="s">
        <v>1115</v>
      </c>
      <c r="C81" s="1772">
        <v>9.9000000000000005E-2</v>
      </c>
      <c r="D81" s="1772">
        <v>9.9000000000000005E-2</v>
      </c>
      <c r="E81" s="1772">
        <v>9.8000000000000004E-2</v>
      </c>
      <c r="F81" s="1773">
        <v>0.1</v>
      </c>
    </row>
    <row r="82" spans="1:6" ht="14.25" thickBot="1">
      <c r="A82" s="1767" t="s">
        <v>1396</v>
      </c>
      <c r="B82" s="1771" t="s">
        <v>1126</v>
      </c>
      <c r="C82" s="1772">
        <v>9.9000000000000005E-2</v>
      </c>
      <c r="D82" s="1772">
        <v>9.9000000000000005E-2</v>
      </c>
      <c r="E82" s="1772">
        <v>9.7000000000000003E-2</v>
      </c>
      <c r="F82" s="1773">
        <v>0.1</v>
      </c>
    </row>
    <row r="83" spans="1:6" ht="14.25" thickBot="1">
      <c r="A83" s="1767" t="s">
        <v>1396</v>
      </c>
      <c r="B83" s="1771" t="s">
        <v>1137</v>
      </c>
      <c r="C83" s="1772">
        <v>9.8000000000000004E-2</v>
      </c>
      <c r="D83" s="1772">
        <v>9.8000000000000004E-2</v>
      </c>
      <c r="E83" s="1772">
        <v>9.8000000000000004E-2</v>
      </c>
      <c r="F83" s="1773">
        <v>0.1</v>
      </c>
    </row>
    <row r="84" spans="1:6" ht="14.25" thickBot="1">
      <c r="A84" s="1767" t="s">
        <v>1396</v>
      </c>
      <c r="B84" s="1771" t="s">
        <v>1149</v>
      </c>
      <c r="C84" s="1772">
        <v>9.9000000000000005E-2</v>
      </c>
      <c r="D84" s="1772">
        <v>9.9000000000000005E-2</v>
      </c>
      <c r="E84" s="1772">
        <v>9.9000000000000005E-2</v>
      </c>
      <c r="F84" s="1773">
        <v>0.1</v>
      </c>
    </row>
    <row r="85" spans="1:6" ht="14.25" thickBot="1">
      <c r="A85" s="1767" t="s">
        <v>1396</v>
      </c>
      <c r="B85" s="1771" t="s">
        <v>1159</v>
      </c>
      <c r="C85" s="1772">
        <v>9.9000000000000005E-2</v>
      </c>
      <c r="D85" s="1772">
        <v>9.9000000000000005E-2</v>
      </c>
      <c r="E85" s="1772">
        <v>9.9000000000000005E-2</v>
      </c>
      <c r="F85" s="1773">
        <v>0.1</v>
      </c>
    </row>
    <row r="86" spans="1:6" ht="14.25" thickBot="1">
      <c r="A86" s="1767" t="s">
        <v>1396</v>
      </c>
      <c r="B86" s="1771" t="s">
        <v>1169</v>
      </c>
      <c r="C86" s="1772">
        <v>0.1</v>
      </c>
      <c r="D86" s="1772">
        <v>0.1</v>
      </c>
      <c r="E86" s="1772">
        <v>7.6999999999999999E-2</v>
      </c>
      <c r="F86" s="1773">
        <v>0.1</v>
      </c>
    </row>
    <row r="87" spans="1:6" ht="14.25" thickBot="1">
      <c r="A87" s="1767" t="s">
        <v>1396</v>
      </c>
      <c r="B87" s="1771" t="s">
        <v>1179</v>
      </c>
      <c r="C87" s="1772">
        <v>0.1</v>
      </c>
      <c r="D87" s="1772">
        <v>0.1</v>
      </c>
      <c r="E87" s="1772">
        <v>9.8000000000000004E-2</v>
      </c>
      <c r="F87" s="1780"/>
    </row>
    <row r="88" spans="1:6" ht="14.25" thickBot="1">
      <c r="A88" s="1767" t="s">
        <v>1396</v>
      </c>
      <c r="B88" s="1771" t="s">
        <v>1189</v>
      </c>
      <c r="C88" s="1772">
        <v>9.1999999999999998E-2</v>
      </c>
      <c r="D88" s="1772">
        <v>8.5000000000000006E-2</v>
      </c>
      <c r="E88" s="1772">
        <v>9.6000000000000002E-2</v>
      </c>
      <c r="F88" s="1780"/>
    </row>
    <row r="89" spans="1:6" ht="14.25" thickBot="1">
      <c r="A89" s="1767" t="s">
        <v>1396</v>
      </c>
      <c r="B89" s="1771" t="s">
        <v>1199</v>
      </c>
      <c r="C89" s="1772">
        <v>0.1</v>
      </c>
      <c r="D89" s="1772">
        <v>0.1</v>
      </c>
      <c r="E89" s="1772">
        <v>9.7000000000000003E-2</v>
      </c>
      <c r="F89" s="1780"/>
    </row>
    <row r="90" spans="1:6" ht="14.25" thickBot="1">
      <c r="A90" s="1767" t="s">
        <v>1396</v>
      </c>
      <c r="B90" s="1771" t="s">
        <v>1209</v>
      </c>
      <c r="C90" s="1772">
        <v>9.8000000000000004E-2</v>
      </c>
      <c r="D90" s="1772">
        <v>9.8000000000000004E-2</v>
      </c>
      <c r="E90" s="1772">
        <v>8.7999999999999995E-2</v>
      </c>
      <c r="F90" s="1780"/>
    </row>
    <row r="91" spans="1:6" ht="14.25" thickBot="1">
      <c r="A91" s="1767" t="s">
        <v>1396</v>
      </c>
      <c r="B91" s="1771" t="s">
        <v>1219</v>
      </c>
      <c r="C91" s="1772">
        <v>9.9000000000000005E-2</v>
      </c>
      <c r="D91" s="1772">
        <v>9.9000000000000005E-2</v>
      </c>
      <c r="E91" s="1772">
        <v>9.0999999999999998E-2</v>
      </c>
      <c r="F91" s="1780"/>
    </row>
    <row r="92" spans="1:6" ht="14.25" thickBot="1">
      <c r="A92" s="1767" t="s">
        <v>1396</v>
      </c>
      <c r="B92" s="1771" t="s">
        <v>1229</v>
      </c>
      <c r="C92" s="1772">
        <v>9.6000000000000002E-2</v>
      </c>
      <c r="D92" s="1772">
        <v>9.6000000000000002E-2</v>
      </c>
      <c r="E92" s="1772">
        <v>7.2999999999999995E-2</v>
      </c>
      <c r="F92" s="1780"/>
    </row>
    <row r="93" spans="1:6" ht="14.25" thickBot="1">
      <c r="A93" s="1767" t="s">
        <v>1396</v>
      </c>
      <c r="B93" s="1771" t="s">
        <v>1239</v>
      </c>
      <c r="C93" s="1772">
        <v>9.6000000000000002E-2</v>
      </c>
      <c r="D93" s="1772">
        <v>9.6000000000000002E-2</v>
      </c>
      <c r="E93" s="1772">
        <v>9.9000000000000005E-2</v>
      </c>
      <c r="F93" s="1780"/>
    </row>
    <row r="94" spans="1:6" ht="14.25" thickBot="1">
      <c r="A94" s="1767" t="s">
        <v>1396</v>
      </c>
      <c r="B94" s="1771" t="s">
        <v>1249</v>
      </c>
      <c r="C94" s="1772">
        <v>7.5999999999999998E-2</v>
      </c>
      <c r="D94" s="1772">
        <v>7.3999999999999996E-2</v>
      </c>
      <c r="E94" s="1772">
        <v>9.7000000000000003E-2</v>
      </c>
      <c r="F94" s="1780"/>
    </row>
    <row r="95" spans="1:6" ht="14.25" thickBot="1">
      <c r="A95" s="1767" t="s">
        <v>1396</v>
      </c>
      <c r="B95" s="1771" t="s">
        <v>1258</v>
      </c>
      <c r="C95" s="1772">
        <v>9.9000000000000005E-2</v>
      </c>
      <c r="D95" s="1772">
        <v>9.4E-2</v>
      </c>
      <c r="E95" s="1772">
        <v>9.6000000000000002E-2</v>
      </c>
      <c r="F95" s="1780"/>
    </row>
    <row r="96" spans="1:6" ht="14.25" thickBot="1">
      <c r="A96" s="1767" t="s">
        <v>1396</v>
      </c>
      <c r="B96" s="1771" t="s">
        <v>1267</v>
      </c>
      <c r="C96" s="1772">
        <v>9.9000000000000005E-2</v>
      </c>
      <c r="D96" s="1772">
        <v>9.9000000000000005E-2</v>
      </c>
      <c r="E96" s="1772">
        <v>9.9000000000000005E-2</v>
      </c>
      <c r="F96" s="1780"/>
    </row>
    <row r="97" spans="1:6" ht="14.25" thickBot="1">
      <c r="A97" s="1767" t="s">
        <v>1396</v>
      </c>
      <c r="B97" s="1771" t="s">
        <v>1275</v>
      </c>
      <c r="C97" s="1772">
        <v>9.8000000000000004E-2</v>
      </c>
      <c r="D97" s="1772">
        <v>9.8000000000000004E-2</v>
      </c>
      <c r="E97" s="1772">
        <v>9.7000000000000003E-2</v>
      </c>
      <c r="F97" s="1780"/>
    </row>
    <row r="98" spans="1:6" ht="14.25" thickBot="1">
      <c r="A98" s="1767" t="s">
        <v>1396</v>
      </c>
      <c r="B98" s="1771" t="s">
        <v>1282</v>
      </c>
      <c r="C98" s="1772">
        <v>0.1</v>
      </c>
      <c r="D98" s="1772">
        <v>0.1</v>
      </c>
      <c r="E98" s="1772">
        <v>9.7000000000000003E-2</v>
      </c>
      <c r="F98" s="1780"/>
    </row>
    <row r="99" spans="1:6" ht="14.25" thickBot="1">
      <c r="A99" s="1767" t="s">
        <v>1396</v>
      </c>
      <c r="B99" s="1771" t="s">
        <v>1289</v>
      </c>
      <c r="C99" s="1772">
        <v>0.1</v>
      </c>
      <c r="D99" s="1772">
        <v>0.1</v>
      </c>
      <c r="E99" s="1781"/>
      <c r="F99" s="1780"/>
    </row>
    <row r="100" spans="1:6" ht="14.25" thickBot="1">
      <c r="A100" s="1767" t="s">
        <v>1396</v>
      </c>
      <c r="B100" s="1771" t="s">
        <v>1296</v>
      </c>
      <c r="C100" s="1772">
        <v>0.09</v>
      </c>
      <c r="D100" s="1772">
        <v>8.8999999999999996E-2</v>
      </c>
      <c r="E100" s="1781"/>
      <c r="F100" s="1780"/>
    </row>
    <row r="101" spans="1:6" ht="14.25" thickBot="1">
      <c r="A101" s="1767" t="s">
        <v>1396</v>
      </c>
      <c r="B101" s="1771" t="s">
        <v>1303</v>
      </c>
      <c r="C101" s="1772">
        <v>9.8000000000000004E-2</v>
      </c>
      <c r="D101" s="1772">
        <v>9.7000000000000003E-2</v>
      </c>
      <c r="E101" s="1781"/>
      <c r="F101" s="1780"/>
    </row>
    <row r="102" spans="1:6" ht="14.25" thickBot="1">
      <c r="A102" s="1767" t="s">
        <v>1396</v>
      </c>
      <c r="B102" s="1771" t="s">
        <v>2084</v>
      </c>
      <c r="C102" s="1781"/>
      <c r="D102" s="1781"/>
      <c r="E102" s="1781"/>
      <c r="F102" s="1773">
        <v>0.05</v>
      </c>
    </row>
    <row r="103" spans="1:6" ht="24.75" thickBot="1">
      <c r="A103" s="1767" t="s">
        <v>1396</v>
      </c>
      <c r="B103" s="1771" t="s">
        <v>2085</v>
      </c>
      <c r="C103" s="1781"/>
      <c r="D103" s="1781"/>
      <c r="E103" s="1781"/>
      <c r="F103" s="1773">
        <v>0.05</v>
      </c>
    </row>
    <row r="104" spans="1:6" ht="14.25" thickBot="1">
      <c r="A104" s="1767" t="s">
        <v>1396</v>
      </c>
      <c r="B104" s="1771" t="s">
        <v>2086</v>
      </c>
      <c r="C104" s="1781"/>
      <c r="D104" s="1781"/>
      <c r="E104" s="1781"/>
      <c r="F104" s="1773">
        <v>0.05</v>
      </c>
    </row>
    <row r="105" spans="1:6" ht="14.25" thickBot="1">
      <c r="A105" s="1767" t="s">
        <v>1396</v>
      </c>
      <c r="B105" s="1771" t="s">
        <v>2087</v>
      </c>
      <c r="C105" s="1781"/>
      <c r="D105" s="1781"/>
      <c r="E105" s="1781"/>
      <c r="F105" s="1773">
        <v>0.05</v>
      </c>
    </row>
    <row r="106" spans="1:6" ht="14.25" thickBot="1">
      <c r="A106" s="1767" t="s">
        <v>1396</v>
      </c>
      <c r="B106" s="1771" t="s">
        <v>2088</v>
      </c>
      <c r="C106" s="1781"/>
      <c r="D106" s="1781"/>
      <c r="E106" s="1781"/>
      <c r="F106" s="1773">
        <v>0.05</v>
      </c>
    </row>
    <row r="107" spans="1:6" ht="24.75" thickBot="1">
      <c r="A107" s="1767" t="s">
        <v>1396</v>
      </c>
      <c r="B107" s="1771" t="s">
        <v>2089</v>
      </c>
      <c r="C107" s="1781"/>
      <c r="D107" s="1781"/>
      <c r="E107" s="1781"/>
      <c r="F107" s="1773">
        <v>0.05</v>
      </c>
    </row>
    <row r="108" spans="1:6" ht="24.75" thickBot="1">
      <c r="A108" s="1767" t="s">
        <v>1396</v>
      </c>
      <c r="B108" s="1771" t="s">
        <v>2090</v>
      </c>
      <c r="C108" s="1781"/>
      <c r="D108" s="1781"/>
      <c r="E108" s="1781"/>
      <c r="F108" s="1773">
        <v>0.05</v>
      </c>
    </row>
    <row r="109" spans="1:6" ht="24.75" thickBot="1">
      <c r="A109" s="1775" t="s">
        <v>1396</v>
      </c>
      <c r="B109" s="1782" t="s">
        <v>2091</v>
      </c>
      <c r="C109" s="1778"/>
      <c r="D109" s="1778"/>
      <c r="E109" s="1778"/>
      <c r="F109" s="1783">
        <v>0.05</v>
      </c>
    </row>
    <row r="110" spans="1:6" ht="14.25" thickBot="1">
      <c r="A110" s="1767" t="s">
        <v>1398</v>
      </c>
      <c r="B110" s="1768" t="s">
        <v>2092</v>
      </c>
      <c r="C110" s="1769">
        <v>0.129</v>
      </c>
      <c r="D110" s="1769">
        <v>0.129</v>
      </c>
      <c r="E110" s="1769">
        <v>0.126</v>
      </c>
      <c r="F110" s="1770">
        <v>0.13</v>
      </c>
    </row>
    <row r="111" spans="1:6" ht="14.25" thickBot="1">
      <c r="A111" s="1767" t="s">
        <v>1398</v>
      </c>
      <c r="B111" s="1771" t="s">
        <v>1064</v>
      </c>
      <c r="C111" s="1772">
        <v>0.11</v>
      </c>
      <c r="D111" s="1772">
        <v>0.11</v>
      </c>
      <c r="E111" s="1772">
        <v>9.9000000000000005E-2</v>
      </c>
      <c r="F111" s="1773">
        <v>0.128</v>
      </c>
    </row>
    <row r="112" spans="1:6" ht="14.25" thickBot="1">
      <c r="A112" s="1767" t="s">
        <v>1398</v>
      </c>
      <c r="B112" s="1771" t="s">
        <v>1078</v>
      </c>
      <c r="C112" s="1772">
        <v>0.125</v>
      </c>
      <c r="D112" s="1772">
        <v>0.125</v>
      </c>
      <c r="E112" s="1772">
        <v>0.12</v>
      </c>
      <c r="F112" s="1773">
        <v>0.125</v>
      </c>
    </row>
    <row r="113" spans="1:6" ht="14.25" thickBot="1">
      <c r="A113" s="1767" t="s">
        <v>1398</v>
      </c>
      <c r="B113" s="1771" t="s">
        <v>1091</v>
      </c>
      <c r="C113" s="1772">
        <v>0.13</v>
      </c>
      <c r="D113" s="1772">
        <v>0.13</v>
      </c>
      <c r="E113" s="1772">
        <v>0.13</v>
      </c>
      <c r="F113" s="1773">
        <v>0.13</v>
      </c>
    </row>
    <row r="114" spans="1:6" ht="14.25" thickBot="1">
      <c r="A114" s="1767" t="s">
        <v>1398</v>
      </c>
      <c r="B114" s="1771" t="s">
        <v>1105</v>
      </c>
      <c r="C114" s="1772">
        <v>0.123</v>
      </c>
      <c r="D114" s="1772">
        <v>0.123</v>
      </c>
      <c r="E114" s="1772">
        <v>0.12</v>
      </c>
      <c r="F114" s="1773">
        <v>0.13</v>
      </c>
    </row>
    <row r="115" spans="1:6" ht="14.25" thickBot="1">
      <c r="A115" s="1767" t="s">
        <v>1398</v>
      </c>
      <c r="B115" s="1771" t="s">
        <v>1116</v>
      </c>
      <c r="C115" s="1772">
        <v>0.125</v>
      </c>
      <c r="D115" s="1772">
        <v>0.125</v>
      </c>
      <c r="E115" s="1772">
        <v>0.11700000000000001</v>
      </c>
      <c r="F115" s="1773">
        <v>0.13</v>
      </c>
    </row>
    <row r="116" spans="1:6" ht="14.25" thickBot="1">
      <c r="A116" s="1767" t="s">
        <v>1398</v>
      </c>
      <c r="B116" s="1771" t="s">
        <v>1127</v>
      </c>
      <c r="C116" s="1772">
        <v>0.11700000000000001</v>
      </c>
      <c r="D116" s="1772">
        <v>0.11700000000000001</v>
      </c>
      <c r="E116" s="1772">
        <v>8.7999999999999995E-2</v>
      </c>
      <c r="F116" s="1773">
        <v>0.13</v>
      </c>
    </row>
    <row r="117" spans="1:6" ht="14.25" thickBot="1">
      <c r="A117" s="1767" t="s">
        <v>1398</v>
      </c>
      <c r="B117" s="1771" t="s">
        <v>1138</v>
      </c>
      <c r="C117" s="1772">
        <v>0.13</v>
      </c>
      <c r="D117" s="1772">
        <v>0.13</v>
      </c>
      <c r="E117" s="1772">
        <v>0.129</v>
      </c>
      <c r="F117" s="1773">
        <v>0.13</v>
      </c>
    </row>
    <row r="118" spans="1:6" ht="14.25" thickBot="1">
      <c r="A118" s="1767" t="s">
        <v>1398</v>
      </c>
      <c r="B118" s="1771" t="s">
        <v>1150</v>
      </c>
      <c r="C118" s="1772">
        <v>0.123</v>
      </c>
      <c r="D118" s="1772">
        <v>0.123</v>
      </c>
      <c r="E118" s="1772">
        <v>0.11600000000000001</v>
      </c>
      <c r="F118" s="1773">
        <v>0.13</v>
      </c>
    </row>
    <row r="119" spans="1:6" ht="14.25" thickBot="1">
      <c r="A119" s="1767" t="s">
        <v>1398</v>
      </c>
      <c r="B119" s="1771" t="s">
        <v>1160</v>
      </c>
      <c r="C119" s="1772">
        <v>0.127</v>
      </c>
      <c r="D119" s="1772">
        <v>0.127</v>
      </c>
      <c r="E119" s="1772">
        <v>0.124</v>
      </c>
      <c r="F119" s="1773">
        <v>0.13</v>
      </c>
    </row>
    <row r="120" spans="1:6" ht="14.25" thickBot="1">
      <c r="A120" s="1767" t="s">
        <v>1398</v>
      </c>
      <c r="B120" s="1771" t="s">
        <v>1170</v>
      </c>
      <c r="C120" s="1772">
        <v>0.125</v>
      </c>
      <c r="D120" s="1772">
        <v>0.125</v>
      </c>
      <c r="E120" s="1772">
        <v>0.122</v>
      </c>
      <c r="F120" s="1773">
        <v>0.13</v>
      </c>
    </row>
    <row r="121" spans="1:6" ht="14.25" thickBot="1">
      <c r="A121" s="1767" t="s">
        <v>1398</v>
      </c>
      <c r="B121" s="1771" t="s">
        <v>1180</v>
      </c>
      <c r="C121" s="1772">
        <v>0.13</v>
      </c>
      <c r="D121" s="1772">
        <v>0.13</v>
      </c>
      <c r="E121" s="1772">
        <v>0.13</v>
      </c>
      <c r="F121" s="1773">
        <v>0.13</v>
      </c>
    </row>
    <row r="122" spans="1:6" ht="14.25" thickBot="1">
      <c r="A122" s="1767" t="s">
        <v>1398</v>
      </c>
      <c r="B122" s="1771" t="s">
        <v>1190</v>
      </c>
      <c r="C122" s="1772">
        <v>0.13</v>
      </c>
      <c r="D122" s="1772">
        <v>0.13</v>
      </c>
      <c r="E122" s="1772">
        <v>0.125</v>
      </c>
      <c r="F122" s="1773">
        <v>0.13</v>
      </c>
    </row>
    <row r="123" spans="1:6" ht="14.25" thickBot="1">
      <c r="A123" s="1767" t="s">
        <v>1398</v>
      </c>
      <c r="B123" s="1771" t="s">
        <v>1200</v>
      </c>
      <c r="C123" s="1772">
        <v>0.129</v>
      </c>
      <c r="D123" s="1772">
        <v>0.129</v>
      </c>
      <c r="E123" s="1772">
        <v>0.123</v>
      </c>
      <c r="F123" s="1773">
        <v>0.13</v>
      </c>
    </row>
    <row r="124" spans="1:6" ht="14.25" thickBot="1">
      <c r="A124" s="1767" t="s">
        <v>1398</v>
      </c>
      <c r="B124" s="1771" t="s">
        <v>1210</v>
      </c>
      <c r="C124" s="1772">
        <v>0.10199999999999999</v>
      </c>
      <c r="D124" s="1772">
        <v>0.10100000000000001</v>
      </c>
      <c r="E124" s="1772">
        <v>0.08</v>
      </c>
      <c r="F124" s="1780"/>
    </row>
    <row r="125" spans="1:6" ht="14.25" thickBot="1">
      <c r="A125" s="1767" t="s">
        <v>1398</v>
      </c>
      <c r="B125" s="1771" t="s">
        <v>1220</v>
      </c>
      <c r="C125" s="1772">
        <v>0.13</v>
      </c>
      <c r="D125" s="1772">
        <v>0.13</v>
      </c>
      <c r="E125" s="1772">
        <v>0.129</v>
      </c>
      <c r="F125" s="1780"/>
    </row>
    <row r="126" spans="1:6" ht="14.25" thickBot="1">
      <c r="A126" s="1767" t="s">
        <v>1398</v>
      </c>
      <c r="B126" s="1771" t="s">
        <v>1230</v>
      </c>
      <c r="C126" s="1772">
        <v>0.13</v>
      </c>
      <c r="D126" s="1772">
        <v>0.13</v>
      </c>
      <c r="E126" s="1772">
        <v>0.126</v>
      </c>
      <c r="F126" s="1780"/>
    </row>
    <row r="127" spans="1:6" ht="14.25" thickBot="1">
      <c r="A127" s="1767" t="s">
        <v>1398</v>
      </c>
      <c r="B127" s="1771" t="s">
        <v>1240</v>
      </c>
      <c r="C127" s="1772">
        <v>0.125</v>
      </c>
      <c r="D127" s="1772">
        <v>0.125</v>
      </c>
      <c r="E127" s="1772">
        <v>0.121</v>
      </c>
      <c r="F127" s="1780"/>
    </row>
    <row r="128" spans="1:6" ht="14.25" thickBot="1">
      <c r="A128" s="1767" t="s">
        <v>1398</v>
      </c>
      <c r="B128" s="1771" t="s">
        <v>1250</v>
      </c>
      <c r="C128" s="1772">
        <v>0.12</v>
      </c>
      <c r="D128" s="1772">
        <v>0.12</v>
      </c>
      <c r="E128" s="1772">
        <v>0.105</v>
      </c>
      <c r="F128" s="1780"/>
    </row>
    <row r="129" spans="1:6" ht="14.25" thickBot="1">
      <c r="A129" s="1767" t="s">
        <v>1398</v>
      </c>
      <c r="B129" s="1771" t="s">
        <v>1259</v>
      </c>
      <c r="C129" s="1772">
        <v>0.13</v>
      </c>
      <c r="D129" s="1772">
        <v>0.13</v>
      </c>
      <c r="E129" s="1772">
        <v>0.126</v>
      </c>
      <c r="F129" s="1780"/>
    </row>
    <row r="130" spans="1:6" ht="14.25" thickBot="1">
      <c r="A130" s="1767" t="s">
        <v>1398</v>
      </c>
      <c r="B130" s="1771" t="s">
        <v>1268</v>
      </c>
      <c r="C130" s="1772">
        <v>0.125</v>
      </c>
      <c r="D130" s="1772">
        <v>0.125</v>
      </c>
      <c r="E130" s="1772">
        <v>0.122</v>
      </c>
      <c r="F130" s="1780"/>
    </row>
    <row r="131" spans="1:6" ht="14.25" thickBot="1">
      <c r="A131" s="1767" t="s">
        <v>1398</v>
      </c>
      <c r="B131" s="1771" t="s">
        <v>1276</v>
      </c>
      <c r="C131" s="1772">
        <v>0.127</v>
      </c>
      <c r="D131" s="1772">
        <v>0.126</v>
      </c>
      <c r="E131" s="1772">
        <v>0.123</v>
      </c>
      <c r="F131" s="1780"/>
    </row>
    <row r="132" spans="1:6" ht="14.25" thickBot="1">
      <c r="A132" s="1767" t="s">
        <v>1398</v>
      </c>
      <c r="B132" s="1771" t="s">
        <v>1283</v>
      </c>
      <c r="C132" s="1772">
        <v>9.0999999999999998E-2</v>
      </c>
      <c r="D132" s="1772">
        <v>0.121</v>
      </c>
      <c r="E132" s="1772">
        <v>9.9000000000000005E-2</v>
      </c>
      <c r="F132" s="1780"/>
    </row>
    <row r="133" spans="1:6" ht="14.25" thickBot="1">
      <c r="A133" s="1767" t="s">
        <v>1398</v>
      </c>
      <c r="B133" s="1771" t="s">
        <v>1290</v>
      </c>
      <c r="C133" s="1772">
        <v>0.13</v>
      </c>
      <c r="D133" s="1772">
        <v>0.13</v>
      </c>
      <c r="E133" s="1772">
        <v>0.129</v>
      </c>
      <c r="F133" s="1780"/>
    </row>
    <row r="134" spans="1:6" ht="14.25" thickBot="1">
      <c r="A134" s="1767" t="s">
        <v>1398</v>
      </c>
      <c r="B134" s="1771" t="s">
        <v>2093</v>
      </c>
      <c r="C134" s="1772">
        <v>6.8000000000000005E-2</v>
      </c>
      <c r="D134" s="1772">
        <v>6.5000000000000002E-2</v>
      </c>
      <c r="E134" s="1772">
        <v>6.5000000000000002E-2</v>
      </c>
      <c r="F134" s="1773">
        <v>0.13</v>
      </c>
    </row>
    <row r="135" spans="1:6" ht="14.25" thickBot="1">
      <c r="A135" s="1767" t="s">
        <v>1398</v>
      </c>
      <c r="B135" s="1771" t="s">
        <v>1304</v>
      </c>
      <c r="C135" s="1772">
        <v>0.123</v>
      </c>
      <c r="D135" s="1772">
        <v>0.123</v>
      </c>
      <c r="E135" s="1772">
        <v>0.11</v>
      </c>
      <c r="F135" s="1780"/>
    </row>
    <row r="136" spans="1:6" ht="14.25" thickBot="1">
      <c r="A136" s="1767" t="s">
        <v>1398</v>
      </c>
      <c r="B136" s="1771" t="s">
        <v>1311</v>
      </c>
      <c r="C136" s="1772">
        <v>0.13</v>
      </c>
      <c r="D136" s="1772">
        <v>0.13</v>
      </c>
      <c r="E136" s="1772">
        <v>0.125</v>
      </c>
      <c r="F136" s="1780"/>
    </row>
    <row r="137" spans="1:6" ht="14.25" thickBot="1">
      <c r="A137" s="1767" t="s">
        <v>1398</v>
      </c>
      <c r="B137" s="1771" t="s">
        <v>1318</v>
      </c>
      <c r="C137" s="1772">
        <v>0.121</v>
      </c>
      <c r="D137" s="1772">
        <v>0.122</v>
      </c>
      <c r="E137" s="1772">
        <v>0.115</v>
      </c>
      <c r="F137" s="1780"/>
    </row>
    <row r="138" spans="1:6" ht="14.25" thickBot="1">
      <c r="A138" s="1767" t="s">
        <v>1398</v>
      </c>
      <c r="B138" s="1771" t="s">
        <v>2094</v>
      </c>
      <c r="C138" s="1772">
        <v>0.105</v>
      </c>
      <c r="D138" s="1772">
        <v>0.125</v>
      </c>
      <c r="E138" s="1772">
        <v>0.112</v>
      </c>
      <c r="F138" s="1780"/>
    </row>
    <row r="139" spans="1:6" ht="14.25" thickBot="1">
      <c r="A139" s="1767" t="s">
        <v>1398</v>
      </c>
      <c r="B139" s="1771" t="s">
        <v>2095</v>
      </c>
      <c r="C139" s="1772">
        <v>0.127</v>
      </c>
      <c r="D139" s="1772">
        <v>0.127</v>
      </c>
      <c r="E139" s="1772">
        <v>0.122</v>
      </c>
      <c r="F139" s="1773">
        <v>0.13</v>
      </c>
    </row>
    <row r="140" spans="1:6" ht="14.25" thickBot="1">
      <c r="A140" s="1767" t="s">
        <v>1398</v>
      </c>
      <c r="B140" s="1771" t="s">
        <v>2096</v>
      </c>
      <c r="C140" s="1772">
        <v>0.125</v>
      </c>
      <c r="D140" s="1772">
        <v>0.125</v>
      </c>
      <c r="E140" s="1772">
        <v>0.11899999999999999</v>
      </c>
      <c r="F140" s="1773">
        <v>0.13</v>
      </c>
    </row>
    <row r="141" spans="1:6" ht="14.25" thickBot="1">
      <c r="A141" s="1767" t="s">
        <v>1398</v>
      </c>
      <c r="B141" s="1771" t="s">
        <v>1337</v>
      </c>
      <c r="C141" s="1772">
        <v>0.125</v>
      </c>
      <c r="D141" s="1772">
        <v>0.125</v>
      </c>
      <c r="E141" s="1772">
        <v>0.11700000000000001</v>
      </c>
      <c r="F141" s="1780"/>
    </row>
    <row r="142" spans="1:6" ht="14.25" thickBot="1">
      <c r="A142" s="1767" t="s">
        <v>1398</v>
      </c>
      <c r="B142" s="1771" t="s">
        <v>1342</v>
      </c>
      <c r="C142" s="1772">
        <v>0.125</v>
      </c>
      <c r="D142" s="1772">
        <v>0.125</v>
      </c>
      <c r="E142" s="1772">
        <v>0.115</v>
      </c>
      <c r="F142" s="1780"/>
    </row>
    <row r="143" spans="1:6" ht="14.25" thickBot="1">
      <c r="A143" s="1767" t="s">
        <v>1398</v>
      </c>
      <c r="B143" s="1771" t="s">
        <v>1347</v>
      </c>
      <c r="C143" s="1772">
        <v>0.121</v>
      </c>
      <c r="D143" s="1772">
        <v>0.121</v>
      </c>
      <c r="E143" s="1772">
        <v>0.108</v>
      </c>
      <c r="F143" s="1780"/>
    </row>
    <row r="144" spans="1:6" ht="14.25" thickBot="1">
      <c r="A144" s="1767" t="s">
        <v>1398</v>
      </c>
      <c r="B144" s="1784" t="s">
        <v>2097</v>
      </c>
      <c r="C144" s="1785">
        <v>0.126</v>
      </c>
      <c r="D144" s="1785">
        <v>0.126</v>
      </c>
      <c r="E144" s="1785">
        <v>0.121</v>
      </c>
      <c r="F144" s="1780"/>
    </row>
    <row r="145" spans="1:6" ht="14.25" thickBot="1">
      <c r="A145" s="1775" t="s">
        <v>1398</v>
      </c>
      <c r="B145" s="1786" t="s">
        <v>2098</v>
      </c>
      <c r="C145" s="1787"/>
      <c r="D145" s="1787"/>
      <c r="E145" s="1787"/>
      <c r="F145" s="1788">
        <v>0.05</v>
      </c>
    </row>
    <row r="146" spans="1:6" ht="24.75" thickBot="1">
      <c r="A146" s="1789" t="s">
        <v>1398</v>
      </c>
      <c r="B146" s="1774" t="s">
        <v>2099</v>
      </c>
      <c r="C146" s="1781"/>
      <c r="D146" s="1781"/>
      <c r="E146" s="1781"/>
      <c r="F146" s="1790">
        <v>0.05</v>
      </c>
    </row>
    <row r="147" spans="1:6" ht="24.75" thickBot="1">
      <c r="A147" s="1767" t="s">
        <v>1398</v>
      </c>
      <c r="B147" s="1771" t="s">
        <v>2100</v>
      </c>
      <c r="C147" s="1781"/>
      <c r="D147" s="1781"/>
      <c r="E147" s="1781"/>
      <c r="F147" s="1773">
        <v>0.05</v>
      </c>
    </row>
    <row r="148" spans="1:6" ht="24.75" thickBot="1">
      <c r="A148" s="1767" t="s">
        <v>1398</v>
      </c>
      <c r="B148" s="1771" t="s">
        <v>2101</v>
      </c>
      <c r="C148" s="1781"/>
      <c r="D148" s="1781"/>
      <c r="E148" s="1781"/>
      <c r="F148" s="1773">
        <v>0.05</v>
      </c>
    </row>
    <row r="149" spans="1:6" ht="24.75" thickBot="1">
      <c r="A149" s="1767" t="s">
        <v>1398</v>
      </c>
      <c r="B149" s="1771" t="s">
        <v>2102</v>
      </c>
      <c r="C149" s="1781"/>
      <c r="D149" s="1781"/>
      <c r="E149" s="1781"/>
      <c r="F149" s="1773">
        <v>0.05</v>
      </c>
    </row>
    <row r="150" spans="1:6" ht="24.75" thickBot="1">
      <c r="A150" s="1767" t="s">
        <v>1398</v>
      </c>
      <c r="B150" s="1771" t="s">
        <v>2103</v>
      </c>
      <c r="C150" s="1781"/>
      <c r="D150" s="1781"/>
      <c r="E150" s="1781"/>
      <c r="F150" s="1773">
        <v>0.05</v>
      </c>
    </row>
    <row r="151" spans="1:6" ht="24.75" thickBot="1">
      <c r="A151" s="1767" t="s">
        <v>1398</v>
      </c>
      <c r="B151" s="1771" t="s">
        <v>2104</v>
      </c>
      <c r="C151" s="1781"/>
      <c r="D151" s="1781"/>
      <c r="E151" s="1781"/>
      <c r="F151" s="1773">
        <v>0.05</v>
      </c>
    </row>
    <row r="152" spans="1:6" ht="24.75" thickBot="1">
      <c r="A152" s="1767" t="s">
        <v>1398</v>
      </c>
      <c r="B152" s="1771" t="s">
        <v>1380</v>
      </c>
      <c r="C152" s="1781"/>
      <c r="D152" s="1781"/>
      <c r="E152" s="1781"/>
      <c r="F152" s="1773">
        <v>0.05</v>
      </c>
    </row>
    <row r="153" spans="1:6" ht="14.25" thickBot="1">
      <c r="A153" s="1767" t="s">
        <v>1398</v>
      </c>
      <c r="B153" s="1771" t="s">
        <v>2105</v>
      </c>
      <c r="C153" s="1781"/>
      <c r="D153" s="1781"/>
      <c r="E153" s="1781"/>
      <c r="F153" s="1773">
        <v>0.05</v>
      </c>
    </row>
    <row r="154" spans="1:6" ht="14.25" thickBot="1">
      <c r="A154" s="1767" t="s">
        <v>1398</v>
      </c>
      <c r="B154" s="1771" t="s">
        <v>2106</v>
      </c>
      <c r="C154" s="1781"/>
      <c r="D154" s="1781"/>
      <c r="E154" s="1781"/>
      <c r="F154" s="1773">
        <v>0.05</v>
      </c>
    </row>
    <row r="155" spans="1:6" ht="24.75" thickBot="1">
      <c r="A155" s="1767" t="s">
        <v>1398</v>
      </c>
      <c r="B155" s="1771" t="s">
        <v>2107</v>
      </c>
      <c r="C155" s="1781"/>
      <c r="D155" s="1781"/>
      <c r="E155" s="1781"/>
      <c r="F155" s="1773">
        <v>0.05</v>
      </c>
    </row>
    <row r="156" spans="1:6" ht="24.75" thickBot="1">
      <c r="A156" s="1767" t="s">
        <v>1398</v>
      </c>
      <c r="B156" s="1771" t="s">
        <v>2108</v>
      </c>
      <c r="C156" s="1781"/>
      <c r="D156" s="1781"/>
      <c r="E156" s="1781"/>
      <c r="F156" s="1773">
        <v>0.05</v>
      </c>
    </row>
    <row r="157" spans="1:6" ht="14.25" thickBot="1">
      <c r="A157" s="1775" t="s">
        <v>1398</v>
      </c>
      <c r="B157" s="1782" t="s">
        <v>2109</v>
      </c>
      <c r="C157" s="1778"/>
      <c r="D157" s="1778"/>
      <c r="E157" s="1778"/>
      <c r="F157" s="1783">
        <v>0.05</v>
      </c>
    </row>
    <row r="158" spans="1:6" ht="14.25" thickBot="1">
      <c r="A158" s="1767" t="s">
        <v>1400</v>
      </c>
      <c r="B158" s="1768" t="s">
        <v>2110</v>
      </c>
      <c r="C158" s="1769">
        <v>0.13</v>
      </c>
      <c r="D158" s="1769">
        <v>0.13</v>
      </c>
      <c r="E158" s="1769">
        <v>0.13</v>
      </c>
      <c r="F158" s="1770">
        <v>0.13</v>
      </c>
    </row>
    <row r="159" spans="1:6" ht="14.25" thickBot="1">
      <c r="A159" s="1767" t="s">
        <v>1400</v>
      </c>
      <c r="B159" s="1771" t="s">
        <v>1065</v>
      </c>
      <c r="C159" s="1772">
        <v>0.13</v>
      </c>
      <c r="D159" s="1772">
        <v>0.13</v>
      </c>
      <c r="E159" s="1772">
        <v>0.13</v>
      </c>
      <c r="F159" s="1773">
        <v>0.13</v>
      </c>
    </row>
    <row r="160" spans="1:6" ht="14.25" thickBot="1">
      <c r="A160" s="1767" t="s">
        <v>1400</v>
      </c>
      <c r="B160" s="1771" t="s">
        <v>1079</v>
      </c>
      <c r="C160" s="1772">
        <v>0.13</v>
      </c>
      <c r="D160" s="1772">
        <v>0.13</v>
      </c>
      <c r="E160" s="1772">
        <v>0.129</v>
      </c>
      <c r="F160" s="1773">
        <v>0.13</v>
      </c>
    </row>
    <row r="161" spans="1:6" ht="14.25" thickBot="1">
      <c r="A161" s="1767" t="s">
        <v>1400</v>
      </c>
      <c r="B161" s="1771" t="s">
        <v>1092</v>
      </c>
      <c r="C161" s="1772">
        <v>0.128</v>
      </c>
      <c r="D161" s="1772">
        <v>0.128</v>
      </c>
      <c r="E161" s="1772">
        <v>0.125</v>
      </c>
      <c r="F161" s="1773">
        <v>0.13</v>
      </c>
    </row>
    <row r="162" spans="1:6" ht="14.25" thickBot="1">
      <c r="A162" s="1767" t="s">
        <v>1400</v>
      </c>
      <c r="B162" s="1771" t="s">
        <v>1106</v>
      </c>
      <c r="C162" s="1772">
        <v>0.122</v>
      </c>
      <c r="D162" s="1772">
        <v>0.122</v>
      </c>
      <c r="E162" s="1772">
        <v>0.126</v>
      </c>
      <c r="F162" s="1773">
        <v>0.122</v>
      </c>
    </row>
    <row r="163" spans="1:6" ht="14.25" thickBot="1">
      <c r="A163" s="1767" t="s">
        <v>1400</v>
      </c>
      <c r="B163" s="1771" t="s">
        <v>1117</v>
      </c>
      <c r="C163" s="1772">
        <v>0.13</v>
      </c>
      <c r="D163" s="1772">
        <v>0.13</v>
      </c>
      <c r="E163" s="1772">
        <v>0.125</v>
      </c>
      <c r="F163" s="1773">
        <v>0.13</v>
      </c>
    </row>
    <row r="164" spans="1:6" ht="14.25" thickBot="1">
      <c r="A164" s="1767" t="s">
        <v>1400</v>
      </c>
      <c r="B164" s="1771" t="s">
        <v>1128</v>
      </c>
      <c r="C164" s="1772">
        <v>0.13</v>
      </c>
      <c r="D164" s="1772">
        <v>0.13</v>
      </c>
      <c r="E164" s="1772">
        <v>0.13</v>
      </c>
      <c r="F164" s="1773">
        <v>0.13</v>
      </c>
    </row>
    <row r="165" spans="1:6" ht="14.25" thickBot="1">
      <c r="A165" s="1767" t="s">
        <v>1400</v>
      </c>
      <c r="B165" s="1771" t="s">
        <v>1139</v>
      </c>
      <c r="C165" s="1772">
        <v>0.13</v>
      </c>
      <c r="D165" s="1772">
        <v>0.13</v>
      </c>
      <c r="E165" s="1772">
        <v>0.124</v>
      </c>
      <c r="F165" s="1773">
        <v>0.13</v>
      </c>
    </row>
    <row r="166" spans="1:6" ht="14.25" thickBot="1">
      <c r="A166" s="1767" t="s">
        <v>1400</v>
      </c>
      <c r="B166" s="1771" t="s">
        <v>1151</v>
      </c>
      <c r="C166" s="1772">
        <v>0.13</v>
      </c>
      <c r="D166" s="1772">
        <v>0.13</v>
      </c>
      <c r="E166" s="1772">
        <v>0.13</v>
      </c>
      <c r="F166" s="1773">
        <v>0.13</v>
      </c>
    </row>
    <row r="167" spans="1:6" ht="14.25" thickBot="1">
      <c r="A167" s="1767" t="s">
        <v>1400</v>
      </c>
      <c r="B167" s="1771" t="s">
        <v>1161</v>
      </c>
      <c r="C167" s="1772">
        <v>0.125</v>
      </c>
      <c r="D167" s="1772">
        <v>0.125</v>
      </c>
      <c r="E167" s="1772">
        <v>0.121</v>
      </c>
      <c r="F167" s="1780"/>
    </row>
    <row r="168" spans="1:6" ht="14.25" thickBot="1">
      <c r="A168" s="1767" t="s">
        <v>1400</v>
      </c>
      <c r="B168" s="1771" t="s">
        <v>1171</v>
      </c>
      <c r="C168" s="1772">
        <v>0.13</v>
      </c>
      <c r="D168" s="1772">
        <v>0.13</v>
      </c>
      <c r="E168" s="1772">
        <v>0.126</v>
      </c>
      <c r="F168" s="1780"/>
    </row>
    <row r="169" spans="1:6" ht="14.25" thickBot="1">
      <c r="A169" s="1767" t="s">
        <v>1400</v>
      </c>
      <c r="B169" s="1771" t="s">
        <v>1181</v>
      </c>
      <c r="C169" s="1772">
        <v>0.128</v>
      </c>
      <c r="D169" s="1772">
        <v>0.129</v>
      </c>
      <c r="E169" s="1772">
        <v>0.13</v>
      </c>
      <c r="F169" s="1780"/>
    </row>
    <row r="170" spans="1:6" ht="14.25" thickBot="1">
      <c r="A170" s="1767" t="s">
        <v>1400</v>
      </c>
      <c r="B170" s="1771" t="s">
        <v>1191</v>
      </c>
      <c r="C170" s="1772">
        <v>0.14099999999999999</v>
      </c>
      <c r="D170" s="1772">
        <v>0.13</v>
      </c>
      <c r="E170" s="1772">
        <v>0.125</v>
      </c>
      <c r="F170" s="1780"/>
    </row>
    <row r="171" spans="1:6" ht="14.25" thickBot="1">
      <c r="A171" s="1767" t="s">
        <v>1400</v>
      </c>
      <c r="B171" s="1771" t="s">
        <v>2111</v>
      </c>
      <c r="C171" s="1772">
        <v>0.127</v>
      </c>
      <c r="D171" s="1772">
        <v>0.126</v>
      </c>
      <c r="E171" s="1772">
        <v>0.126</v>
      </c>
      <c r="F171" s="1773">
        <v>0.11799999999999999</v>
      </c>
    </row>
    <row r="172" spans="1:6" ht="14.25" thickBot="1">
      <c r="A172" s="1767" t="s">
        <v>1400</v>
      </c>
      <c r="B172" s="1771" t="s">
        <v>2112</v>
      </c>
      <c r="C172" s="1772">
        <v>0.13</v>
      </c>
      <c r="D172" s="1772">
        <v>0.13</v>
      </c>
      <c r="E172" s="1772">
        <v>0.13</v>
      </c>
      <c r="F172" s="1780"/>
    </row>
    <row r="173" spans="1:6" ht="14.25" thickBot="1">
      <c r="A173" s="1767" t="s">
        <v>1400</v>
      </c>
      <c r="B173" s="1771" t="s">
        <v>1221</v>
      </c>
      <c r="C173" s="1772">
        <v>0.13</v>
      </c>
      <c r="D173" s="1772">
        <v>0.13</v>
      </c>
      <c r="E173" s="1772">
        <v>0.13</v>
      </c>
      <c r="F173" s="1780"/>
    </row>
    <row r="174" spans="1:6" ht="14.25" thickBot="1">
      <c r="A174" s="1767" t="s">
        <v>1400</v>
      </c>
      <c r="B174" s="1771" t="s">
        <v>2113</v>
      </c>
      <c r="C174" s="1772">
        <v>0.13</v>
      </c>
      <c r="D174" s="1772">
        <v>0.13</v>
      </c>
      <c r="E174" s="1772">
        <v>0.13</v>
      </c>
      <c r="F174" s="1773">
        <v>0.13</v>
      </c>
    </row>
    <row r="175" spans="1:6" ht="14.25" thickBot="1">
      <c r="A175" s="1767" t="s">
        <v>1400</v>
      </c>
      <c r="B175" s="1771" t="s">
        <v>2114</v>
      </c>
      <c r="C175" s="1772">
        <v>0.13</v>
      </c>
      <c r="D175" s="1772">
        <v>0.13</v>
      </c>
      <c r="E175" s="1772">
        <v>0.13</v>
      </c>
      <c r="F175" s="1773">
        <v>0.13</v>
      </c>
    </row>
    <row r="176" spans="1:6" ht="14.25" thickBot="1">
      <c r="A176" s="1767" t="s">
        <v>1400</v>
      </c>
      <c r="B176" s="1771" t="s">
        <v>1251</v>
      </c>
      <c r="C176" s="1772">
        <v>0.13</v>
      </c>
      <c r="D176" s="1772">
        <v>0.13</v>
      </c>
      <c r="E176" s="1772">
        <v>0.13</v>
      </c>
      <c r="F176" s="1773">
        <v>0.13</v>
      </c>
    </row>
    <row r="177" spans="1:6" ht="14.25" thickBot="1">
      <c r="A177" s="1767" t="s">
        <v>1400</v>
      </c>
      <c r="B177" s="1771" t="s">
        <v>2115</v>
      </c>
      <c r="C177" s="1772">
        <v>0.13</v>
      </c>
      <c r="D177" s="1772">
        <v>0.13</v>
      </c>
      <c r="E177" s="1772">
        <v>0.13</v>
      </c>
      <c r="F177" s="1773">
        <v>0.13</v>
      </c>
    </row>
    <row r="178" spans="1:6" ht="14.25" thickBot="1">
      <c r="A178" s="1767" t="s">
        <v>1400</v>
      </c>
      <c r="B178" s="1771" t="s">
        <v>1269</v>
      </c>
      <c r="C178" s="1772">
        <v>0.13</v>
      </c>
      <c r="D178" s="1772">
        <v>0.13</v>
      </c>
      <c r="E178" s="1772">
        <v>0.13</v>
      </c>
      <c r="F178" s="1773">
        <v>0.127</v>
      </c>
    </row>
    <row r="179" spans="1:6" ht="14.25" thickBot="1">
      <c r="A179" s="1767" t="s">
        <v>1400</v>
      </c>
      <c r="B179" s="1771" t="s">
        <v>1277</v>
      </c>
      <c r="C179" s="1772">
        <v>0.13</v>
      </c>
      <c r="D179" s="1772">
        <v>0.13</v>
      </c>
      <c r="E179" s="1772">
        <v>0.13</v>
      </c>
      <c r="F179" s="1780"/>
    </row>
    <row r="180" spans="1:6" ht="14.25" thickBot="1">
      <c r="A180" s="1767" t="s">
        <v>1400</v>
      </c>
      <c r="B180" s="1771" t="s">
        <v>2116</v>
      </c>
      <c r="C180" s="1772">
        <v>0.13</v>
      </c>
      <c r="D180" s="1772">
        <v>0.13</v>
      </c>
      <c r="E180" s="1772">
        <v>0.125</v>
      </c>
      <c r="F180" s="1773">
        <v>0.13</v>
      </c>
    </row>
    <row r="181" spans="1:6" ht="14.25" thickBot="1">
      <c r="A181" s="1767" t="s">
        <v>1400</v>
      </c>
      <c r="B181" s="1771" t="s">
        <v>1291</v>
      </c>
      <c r="C181" s="1772">
        <v>0.122</v>
      </c>
      <c r="D181" s="1772">
        <v>0.123</v>
      </c>
      <c r="E181" s="1772">
        <v>0.126</v>
      </c>
      <c r="F181" s="1773">
        <v>0.121</v>
      </c>
    </row>
    <row r="182" spans="1:6" ht="14.25" thickBot="1">
      <c r="A182" s="1767" t="s">
        <v>1400</v>
      </c>
      <c r="B182" s="1771" t="s">
        <v>1298</v>
      </c>
      <c r="C182" s="1772">
        <v>0.125</v>
      </c>
      <c r="D182" s="1772">
        <v>0.125</v>
      </c>
      <c r="E182" s="1772">
        <v>0.11700000000000001</v>
      </c>
      <c r="F182" s="1773">
        <v>0.13</v>
      </c>
    </row>
    <row r="183" spans="1:6" ht="14.25" thickBot="1">
      <c r="A183" s="1767" t="s">
        <v>1400</v>
      </c>
      <c r="B183" s="1771" t="s">
        <v>1305</v>
      </c>
      <c r="C183" s="1772">
        <v>0.127</v>
      </c>
      <c r="D183" s="1772">
        <v>0.127</v>
      </c>
      <c r="E183" s="1772">
        <v>0.128</v>
      </c>
      <c r="F183" s="1780"/>
    </row>
    <row r="184" spans="1:6" ht="14.25" thickBot="1">
      <c r="A184" s="1767" t="s">
        <v>1400</v>
      </c>
      <c r="B184" s="1771" t="s">
        <v>1312</v>
      </c>
      <c r="C184" s="1772">
        <v>0.125</v>
      </c>
      <c r="D184" s="1772">
        <v>0.125</v>
      </c>
      <c r="E184" s="1772">
        <v>0.127</v>
      </c>
      <c r="F184" s="1780"/>
    </row>
    <row r="185" spans="1:6" ht="14.25" thickBot="1">
      <c r="A185" s="1767" t="s">
        <v>1400</v>
      </c>
      <c r="B185" s="1771" t="s">
        <v>2117</v>
      </c>
      <c r="C185" s="1772">
        <v>0.127</v>
      </c>
      <c r="D185" s="1772">
        <v>0.127</v>
      </c>
      <c r="E185" s="1772">
        <v>0.128</v>
      </c>
      <c r="F185" s="1773">
        <v>0.13</v>
      </c>
    </row>
    <row r="186" spans="1:6" ht="24.75" thickBot="1">
      <c r="A186" s="1767" t="s">
        <v>1400</v>
      </c>
      <c r="B186" s="1771" t="s">
        <v>2118</v>
      </c>
      <c r="C186" s="1781"/>
      <c r="D186" s="1781"/>
      <c r="E186" s="1781"/>
      <c r="F186" s="1773">
        <v>0.05</v>
      </c>
    </row>
    <row r="187" spans="1:6" ht="14.25" thickBot="1">
      <c r="A187" s="1767" t="s">
        <v>1400</v>
      </c>
      <c r="B187" s="1771" t="s">
        <v>2119</v>
      </c>
      <c r="C187" s="1781"/>
      <c r="D187" s="1781"/>
      <c r="E187" s="1781"/>
      <c r="F187" s="1773">
        <v>0.05</v>
      </c>
    </row>
    <row r="188" spans="1:6" ht="14.25" thickBot="1">
      <c r="A188" s="1767" t="s">
        <v>1400</v>
      </c>
      <c r="B188" s="1771" t="s">
        <v>2120</v>
      </c>
      <c r="C188" s="1781"/>
      <c r="D188" s="1781"/>
      <c r="E188" s="1781"/>
      <c r="F188" s="1773">
        <v>0.05</v>
      </c>
    </row>
    <row r="189" spans="1:6" ht="24.75" thickBot="1">
      <c r="A189" s="1767" t="s">
        <v>1400</v>
      </c>
      <c r="B189" s="1771" t="s">
        <v>2121</v>
      </c>
      <c r="C189" s="1781"/>
      <c r="D189" s="1781"/>
      <c r="E189" s="1781"/>
      <c r="F189" s="1773">
        <v>0.05</v>
      </c>
    </row>
    <row r="190" spans="1:6" ht="24.75" thickBot="1">
      <c r="A190" s="1767" t="s">
        <v>1400</v>
      </c>
      <c r="B190" s="1771" t="s">
        <v>2122</v>
      </c>
      <c r="C190" s="1781"/>
      <c r="D190" s="1781"/>
      <c r="E190" s="1781"/>
      <c r="F190" s="1773">
        <v>0.05</v>
      </c>
    </row>
    <row r="191" spans="1:6" ht="24.75" thickBot="1">
      <c r="A191" s="1767" t="s">
        <v>1400</v>
      </c>
      <c r="B191" s="1771" t="s">
        <v>2123</v>
      </c>
      <c r="C191" s="1781"/>
      <c r="D191" s="1781"/>
      <c r="E191" s="1781"/>
      <c r="F191" s="1773">
        <v>0.05</v>
      </c>
    </row>
    <row r="192" spans="1:6" ht="24.75" thickBot="1">
      <c r="A192" s="1767" t="s">
        <v>1400</v>
      </c>
      <c r="B192" s="1771" t="s">
        <v>2124</v>
      </c>
      <c r="C192" s="1781"/>
      <c r="D192" s="1781"/>
      <c r="E192" s="1781"/>
      <c r="F192" s="1773">
        <v>0.05</v>
      </c>
    </row>
    <row r="193" spans="1:6" ht="24.75" thickBot="1">
      <c r="A193" s="1767" t="s">
        <v>1400</v>
      </c>
      <c r="B193" s="1771" t="s">
        <v>2125</v>
      </c>
      <c r="C193" s="1781"/>
      <c r="D193" s="1781"/>
      <c r="E193" s="1781"/>
      <c r="F193" s="1773">
        <v>0.05</v>
      </c>
    </row>
    <row r="194" spans="1:6" ht="24.75" thickBot="1">
      <c r="A194" s="1767" t="s">
        <v>1400</v>
      </c>
      <c r="B194" s="1771" t="s">
        <v>2126</v>
      </c>
      <c r="C194" s="1781"/>
      <c r="D194" s="1781"/>
      <c r="E194" s="1781"/>
      <c r="F194" s="1773">
        <v>0.05</v>
      </c>
    </row>
    <row r="195" spans="1:6" ht="14.25" thickBot="1">
      <c r="A195" s="1767" t="s">
        <v>1400</v>
      </c>
      <c r="B195" s="1771" t="s">
        <v>2127</v>
      </c>
      <c r="C195" s="1781"/>
      <c r="D195" s="1781"/>
      <c r="E195" s="1781"/>
      <c r="F195" s="1773">
        <v>0.05</v>
      </c>
    </row>
    <row r="196" spans="1:6" ht="24.75" thickBot="1">
      <c r="A196" s="1767" t="s">
        <v>1400</v>
      </c>
      <c r="B196" s="1771" t="s">
        <v>2128</v>
      </c>
      <c r="C196" s="1781"/>
      <c r="D196" s="1781"/>
      <c r="E196" s="1781"/>
      <c r="F196" s="1773">
        <v>0.05</v>
      </c>
    </row>
    <row r="197" spans="1:6" ht="24.75" thickBot="1">
      <c r="A197" s="1767" t="s">
        <v>1400</v>
      </c>
      <c r="B197" s="1771" t="s">
        <v>2129</v>
      </c>
      <c r="C197" s="1781"/>
      <c r="D197" s="1781"/>
      <c r="E197" s="1781"/>
      <c r="F197" s="1773">
        <v>0.05</v>
      </c>
    </row>
    <row r="198" spans="1:6" ht="24.75" thickBot="1">
      <c r="A198" s="1767" t="s">
        <v>1400</v>
      </c>
      <c r="B198" s="1771" t="s">
        <v>2130</v>
      </c>
      <c r="C198" s="1781"/>
      <c r="D198" s="1781"/>
      <c r="E198" s="1781"/>
      <c r="F198" s="1773">
        <v>0.05</v>
      </c>
    </row>
    <row r="199" spans="1:6" ht="24.75" thickBot="1">
      <c r="A199" s="1767" t="s">
        <v>1400</v>
      </c>
      <c r="B199" s="1771" t="s">
        <v>2131</v>
      </c>
      <c r="C199" s="1781"/>
      <c r="D199" s="1781"/>
      <c r="E199" s="1781"/>
      <c r="F199" s="1773">
        <v>0.05</v>
      </c>
    </row>
    <row r="200" spans="1:6" ht="24.75" thickBot="1">
      <c r="A200" s="1767" t="s">
        <v>1400</v>
      </c>
      <c r="B200" s="1771" t="s">
        <v>2132</v>
      </c>
      <c r="C200" s="1781"/>
      <c r="D200" s="1781"/>
      <c r="E200" s="1781"/>
      <c r="F200" s="1773">
        <v>0.05</v>
      </c>
    </row>
    <row r="201" spans="1:6" ht="24.75" thickBot="1">
      <c r="A201" s="1767" t="s">
        <v>1400</v>
      </c>
      <c r="B201" s="1771" t="s">
        <v>2133</v>
      </c>
      <c r="C201" s="1781"/>
      <c r="D201" s="1781"/>
      <c r="E201" s="1781"/>
      <c r="F201" s="1773">
        <v>0.05</v>
      </c>
    </row>
    <row r="202" spans="1:6" ht="24.75" thickBot="1">
      <c r="A202" s="1767" t="s">
        <v>1400</v>
      </c>
      <c r="B202" s="1771" t="s">
        <v>2134</v>
      </c>
      <c r="C202" s="1781"/>
      <c r="D202" s="1781"/>
      <c r="E202" s="1781"/>
      <c r="F202" s="1773">
        <v>0.05</v>
      </c>
    </row>
    <row r="203" spans="1:6" ht="24.75" thickBot="1">
      <c r="A203" s="1767" t="s">
        <v>1400</v>
      </c>
      <c r="B203" s="1771" t="s">
        <v>2135</v>
      </c>
      <c r="C203" s="1781"/>
      <c r="D203" s="1781"/>
      <c r="E203" s="1781"/>
      <c r="F203" s="1773">
        <v>0.05</v>
      </c>
    </row>
    <row r="204" spans="1:6" ht="14.25" thickBot="1">
      <c r="A204" s="1767" t="s">
        <v>1400</v>
      </c>
      <c r="B204" s="1771" t="s">
        <v>2136</v>
      </c>
      <c r="C204" s="1781"/>
      <c r="D204" s="1781"/>
      <c r="E204" s="1781"/>
      <c r="F204" s="1773">
        <v>0.05</v>
      </c>
    </row>
    <row r="205" spans="1:6" ht="14.25" thickBot="1">
      <c r="A205" s="1775" t="s">
        <v>1400</v>
      </c>
      <c r="B205" s="1782" t="s">
        <v>2137</v>
      </c>
      <c r="C205" s="1778"/>
      <c r="D205" s="1778"/>
      <c r="E205" s="1778"/>
      <c r="F205" s="1783">
        <v>0.05</v>
      </c>
    </row>
    <row r="206" spans="1:6" ht="14.25" thickBot="1">
      <c r="A206" s="1767" t="s">
        <v>1402</v>
      </c>
      <c r="B206" s="1768" t="s">
        <v>2138</v>
      </c>
      <c r="C206" s="1769">
        <v>0.15</v>
      </c>
      <c r="D206" s="1769">
        <v>0.15</v>
      </c>
      <c r="E206" s="1769">
        <v>0.15</v>
      </c>
      <c r="F206" s="1770">
        <v>0.15</v>
      </c>
    </row>
    <row r="207" spans="1:6" ht="14.25" thickBot="1">
      <c r="A207" s="1767" t="s">
        <v>1402</v>
      </c>
      <c r="B207" s="1771" t="s">
        <v>1066</v>
      </c>
      <c r="C207" s="1772">
        <v>0.15</v>
      </c>
      <c r="D207" s="1772">
        <v>0.15</v>
      </c>
      <c r="E207" s="1772">
        <v>0.15</v>
      </c>
      <c r="F207" s="1773">
        <v>0.14399999999999999</v>
      </c>
    </row>
    <row r="208" spans="1:6" ht="14.25" thickBot="1">
      <c r="A208" s="1767" t="s">
        <v>1402</v>
      </c>
      <c r="B208" s="1771" t="s">
        <v>1080</v>
      </c>
      <c r="C208" s="1772">
        <v>0.15</v>
      </c>
      <c r="D208" s="1772">
        <v>0.15</v>
      </c>
      <c r="E208" s="1772">
        <v>0.15</v>
      </c>
      <c r="F208" s="1773">
        <v>0.15</v>
      </c>
    </row>
    <row r="209" spans="1:6" ht="14.25" thickBot="1">
      <c r="A209" s="1767" t="s">
        <v>1402</v>
      </c>
      <c r="B209" s="1771" t="s">
        <v>1093</v>
      </c>
      <c r="C209" s="1772">
        <v>0.13700000000000001</v>
      </c>
      <c r="D209" s="1772">
        <v>0.13700000000000001</v>
      </c>
      <c r="E209" s="1772">
        <v>0.14000000000000001</v>
      </c>
      <c r="F209" s="1773">
        <v>0.11700000000000001</v>
      </c>
    </row>
    <row r="210" spans="1:6" ht="14.25" thickBot="1">
      <c r="A210" s="1767" t="s">
        <v>1402</v>
      </c>
      <c r="B210" s="1771" t="s">
        <v>2139</v>
      </c>
      <c r="C210" s="1772">
        <v>0.15</v>
      </c>
      <c r="D210" s="1772">
        <v>0.15</v>
      </c>
      <c r="E210" s="1772">
        <v>0.15</v>
      </c>
      <c r="F210" s="1773">
        <v>0.13800000000000001</v>
      </c>
    </row>
    <row r="211" spans="1:6" ht="14.25" thickBot="1">
      <c r="A211" s="1767" t="s">
        <v>1402</v>
      </c>
      <c r="B211" s="1771" t="s">
        <v>2140</v>
      </c>
      <c r="C211" s="1772">
        <v>0.13700000000000001</v>
      </c>
      <c r="D211" s="1772">
        <v>0.13500000000000001</v>
      </c>
      <c r="E211" s="1772">
        <v>0.13600000000000001</v>
      </c>
      <c r="F211" s="1773">
        <v>0.1</v>
      </c>
    </row>
    <row r="212" spans="1:6" ht="14.25" thickBot="1">
      <c r="A212" s="1767" t="s">
        <v>1402</v>
      </c>
      <c r="B212" s="1771" t="s">
        <v>2141</v>
      </c>
      <c r="C212" s="1772">
        <v>0.15</v>
      </c>
      <c r="D212" s="1772">
        <v>0.15</v>
      </c>
      <c r="E212" s="1772">
        <v>0.14799999999999999</v>
      </c>
      <c r="F212" s="1773">
        <v>0.13600000000000001</v>
      </c>
    </row>
    <row r="213" spans="1:6" ht="14.25" thickBot="1">
      <c r="A213" s="1767" t="s">
        <v>1402</v>
      </c>
      <c r="B213" s="1771" t="s">
        <v>1140</v>
      </c>
      <c r="C213" s="1772">
        <v>0.15</v>
      </c>
      <c r="D213" s="1772">
        <v>0.15</v>
      </c>
      <c r="E213" s="1772">
        <v>0.15</v>
      </c>
      <c r="F213" s="1773">
        <v>0.13800000000000001</v>
      </c>
    </row>
    <row r="214" spans="1:6" ht="14.25" thickBot="1">
      <c r="A214" s="1767" t="s">
        <v>1402</v>
      </c>
      <c r="B214" s="1771" t="s">
        <v>1152</v>
      </c>
      <c r="C214" s="1772">
        <v>9.0999999999999998E-2</v>
      </c>
      <c r="D214" s="1772">
        <v>0.09</v>
      </c>
      <c r="E214" s="1772">
        <v>9.1999999999999998E-2</v>
      </c>
      <c r="F214" s="1780"/>
    </row>
    <row r="215" spans="1:6" ht="14.25" thickBot="1">
      <c r="A215" s="1767" t="s">
        <v>1402</v>
      </c>
      <c r="B215" s="1771" t="s">
        <v>2142</v>
      </c>
      <c r="C215" s="1772">
        <v>0.15</v>
      </c>
      <c r="D215" s="1772">
        <v>0.15</v>
      </c>
      <c r="E215" s="1772">
        <v>0.15</v>
      </c>
      <c r="F215" s="1773">
        <v>0.15</v>
      </c>
    </row>
    <row r="216" spans="1:6" ht="14.25" thickBot="1">
      <c r="A216" s="1767" t="s">
        <v>1402</v>
      </c>
      <c r="B216" s="1771" t="s">
        <v>1172</v>
      </c>
      <c r="C216" s="1772">
        <v>0.14699999999999999</v>
      </c>
      <c r="D216" s="1772">
        <v>0.14699999999999999</v>
      </c>
      <c r="E216" s="1772">
        <v>0.15</v>
      </c>
      <c r="F216" s="1773">
        <v>0.14000000000000001</v>
      </c>
    </row>
    <row r="217" spans="1:6" ht="14.25" thickBot="1">
      <c r="A217" s="1767" t="s">
        <v>1402</v>
      </c>
      <c r="B217" s="1771" t="s">
        <v>1182</v>
      </c>
      <c r="C217" s="1772">
        <v>0.15</v>
      </c>
      <c r="D217" s="1772">
        <v>0.15</v>
      </c>
      <c r="E217" s="1772">
        <v>0.15</v>
      </c>
      <c r="F217" s="1773">
        <v>0.15</v>
      </c>
    </row>
    <row r="218" spans="1:6" ht="14.25" thickBot="1">
      <c r="A218" s="1767" t="s">
        <v>1402</v>
      </c>
      <c r="B218" s="1771" t="s">
        <v>2143</v>
      </c>
      <c r="C218" s="1772">
        <v>0.15</v>
      </c>
      <c r="D218" s="1772">
        <v>0.15</v>
      </c>
      <c r="E218" s="1772">
        <v>0.15</v>
      </c>
      <c r="F218" s="1773">
        <v>0.15</v>
      </c>
    </row>
    <row r="219" spans="1:6" ht="14.25" thickBot="1">
      <c r="A219" s="1767" t="s">
        <v>1402</v>
      </c>
      <c r="B219" s="1771" t="s">
        <v>1202</v>
      </c>
      <c r="C219" s="1772">
        <v>0.15</v>
      </c>
      <c r="D219" s="1772">
        <v>0.15</v>
      </c>
      <c r="E219" s="1772">
        <v>0.15</v>
      </c>
      <c r="F219" s="1773">
        <v>0.14799999999999999</v>
      </c>
    </row>
    <row r="220" spans="1:6" ht="14.25" thickBot="1">
      <c r="A220" s="1767" t="s">
        <v>1402</v>
      </c>
      <c r="B220" s="1771" t="s">
        <v>2144</v>
      </c>
      <c r="C220" s="1772">
        <v>0.15</v>
      </c>
      <c r="D220" s="1772">
        <v>0.15</v>
      </c>
      <c r="E220" s="1772">
        <v>0.15</v>
      </c>
      <c r="F220" s="1773">
        <v>0.15</v>
      </c>
    </row>
    <row r="221" spans="1:6" ht="14.25" thickBot="1">
      <c r="A221" s="1767" t="s">
        <v>1402</v>
      </c>
      <c r="B221" s="1771" t="s">
        <v>1222</v>
      </c>
      <c r="C221" s="1772"/>
      <c r="D221" s="1781"/>
      <c r="E221" s="1781"/>
      <c r="F221" s="1773">
        <v>0.14799999999999999</v>
      </c>
    </row>
    <row r="222" spans="1:6" ht="14.25" thickBot="1">
      <c r="A222" s="1767" t="s">
        <v>1402</v>
      </c>
      <c r="B222" s="1771" t="s">
        <v>1232</v>
      </c>
      <c r="C222" s="1772"/>
      <c r="D222" s="1781"/>
      <c r="E222" s="1781"/>
      <c r="F222" s="1773">
        <v>0.1</v>
      </c>
    </row>
    <row r="223" spans="1:6" ht="14.25" thickBot="1">
      <c r="A223" s="1767" t="s">
        <v>1402</v>
      </c>
      <c r="B223" s="1771" t="s">
        <v>1242</v>
      </c>
      <c r="C223" s="1772"/>
      <c r="D223" s="1781"/>
      <c r="E223" s="1781"/>
      <c r="F223" s="1773">
        <v>0.15</v>
      </c>
    </row>
    <row r="224" spans="1:6" ht="14.25" thickBot="1">
      <c r="A224" s="1767" t="s">
        <v>1402</v>
      </c>
      <c r="B224" s="1771" t="s">
        <v>1252</v>
      </c>
      <c r="C224" s="1772"/>
      <c r="D224" s="1781"/>
      <c r="E224" s="1781"/>
      <c r="F224" s="1773">
        <v>0.15</v>
      </c>
    </row>
    <row r="225" spans="1:6" ht="14.25" thickBot="1">
      <c r="A225" s="1767" t="s">
        <v>1402</v>
      </c>
      <c r="B225" s="1771" t="s">
        <v>2145</v>
      </c>
      <c r="C225" s="1772">
        <v>0.15</v>
      </c>
      <c r="D225" s="1772">
        <v>0.15</v>
      </c>
      <c r="E225" s="1772">
        <v>0.15</v>
      </c>
      <c r="F225" s="1773">
        <v>0.15</v>
      </c>
    </row>
    <row r="226" spans="1:6" ht="14.25" thickBot="1">
      <c r="A226" s="1767" t="s">
        <v>1402</v>
      </c>
      <c r="B226" s="1771" t="s">
        <v>1270</v>
      </c>
      <c r="C226" s="1772">
        <v>0.15</v>
      </c>
      <c r="D226" s="1772">
        <v>0.15</v>
      </c>
      <c r="E226" s="1772">
        <v>0.15</v>
      </c>
      <c r="F226" s="1773">
        <v>0.14799999999999999</v>
      </c>
    </row>
    <row r="227" spans="1:6" ht="14.25" thickBot="1">
      <c r="A227" s="1767" t="s">
        <v>1402</v>
      </c>
      <c r="B227" s="1771" t="s">
        <v>2146</v>
      </c>
      <c r="C227" s="1772">
        <v>0.15</v>
      </c>
      <c r="D227" s="1772">
        <v>0.15</v>
      </c>
      <c r="E227" s="1772">
        <v>0.15</v>
      </c>
      <c r="F227" s="1773">
        <v>0.15</v>
      </c>
    </row>
    <row r="228" spans="1:6" ht="14.25" thickBot="1">
      <c r="A228" s="1767" t="s">
        <v>1402</v>
      </c>
      <c r="B228" s="1771" t="s">
        <v>1285</v>
      </c>
      <c r="C228" s="1772">
        <v>0.15</v>
      </c>
      <c r="D228" s="1772">
        <v>0.15</v>
      </c>
      <c r="E228" s="1772">
        <v>0.15</v>
      </c>
      <c r="F228" s="1773">
        <v>0.15</v>
      </c>
    </row>
    <row r="229" spans="1:6" ht="14.25" thickBot="1">
      <c r="A229" s="1767" t="s">
        <v>1402</v>
      </c>
      <c r="B229" s="1771" t="s">
        <v>1292</v>
      </c>
      <c r="C229" s="1772">
        <v>0.15</v>
      </c>
      <c r="D229" s="1772">
        <v>0.15</v>
      </c>
      <c r="E229" s="1772">
        <v>0.15</v>
      </c>
      <c r="F229" s="1780"/>
    </row>
    <row r="230" spans="1:6" ht="14.25" thickBot="1">
      <c r="A230" s="1767" t="s">
        <v>1402</v>
      </c>
      <c r="B230" s="1771" t="s">
        <v>1299</v>
      </c>
      <c r="C230" s="1772">
        <v>0.14499999999999999</v>
      </c>
      <c r="D230" s="1772">
        <v>0.14499999999999999</v>
      </c>
      <c r="E230" s="1772">
        <v>0.14399999999999999</v>
      </c>
      <c r="F230" s="1780"/>
    </row>
    <row r="231" spans="1:6" ht="14.25" thickBot="1">
      <c r="A231" s="1767" t="s">
        <v>1402</v>
      </c>
      <c r="B231" s="1771" t="s">
        <v>2147</v>
      </c>
      <c r="C231" s="1772">
        <v>0.128</v>
      </c>
      <c r="D231" s="1772">
        <v>0.125</v>
      </c>
      <c r="E231" s="1772">
        <v>0.13200000000000001</v>
      </c>
      <c r="F231" s="1780"/>
    </row>
    <row r="232" spans="1:6" ht="14.25" thickBot="1">
      <c r="A232" s="1767" t="s">
        <v>1402</v>
      </c>
      <c r="B232" s="1771" t="s">
        <v>2148</v>
      </c>
      <c r="C232" s="1772">
        <v>0.14499999999999999</v>
      </c>
      <c r="D232" s="1772">
        <v>0.14399999999999999</v>
      </c>
      <c r="E232" s="1772">
        <v>0.14599999999999999</v>
      </c>
      <c r="F232" s="1773">
        <v>0.13800000000000001</v>
      </c>
    </row>
    <row r="233" spans="1:6" ht="14.25" thickBot="1">
      <c r="A233" s="1767" t="s">
        <v>1402</v>
      </c>
      <c r="B233" s="1771" t="s">
        <v>2149</v>
      </c>
      <c r="C233" s="1772">
        <v>0.14499999999999999</v>
      </c>
      <c r="D233" s="1772">
        <v>0.14299999999999999</v>
      </c>
      <c r="E233" s="1772">
        <v>0.14199999999999999</v>
      </c>
      <c r="F233" s="1780"/>
    </row>
    <row r="234" spans="1:6" ht="14.25" thickBot="1">
      <c r="A234" s="1767" t="s">
        <v>1402</v>
      </c>
      <c r="B234" s="1771" t="s">
        <v>2150</v>
      </c>
      <c r="C234" s="1772">
        <v>0.14000000000000001</v>
      </c>
      <c r="D234" s="1772">
        <v>0.14000000000000001</v>
      </c>
      <c r="E234" s="1772">
        <v>0.14399999999999999</v>
      </c>
      <c r="F234" s="1780"/>
    </row>
    <row r="235" spans="1:6" ht="14.25" thickBot="1">
      <c r="A235" s="1767" t="s">
        <v>1402</v>
      </c>
      <c r="B235" s="1771" t="s">
        <v>2151</v>
      </c>
      <c r="C235" s="1772">
        <v>0.14099999999999999</v>
      </c>
      <c r="D235" s="1772">
        <v>0.14199999999999999</v>
      </c>
      <c r="E235" s="1772">
        <v>0.14499999999999999</v>
      </c>
      <c r="F235" s="1773">
        <v>0.15</v>
      </c>
    </row>
    <row r="236" spans="1:6" ht="14.25" thickBot="1">
      <c r="A236" s="1767" t="s">
        <v>1402</v>
      </c>
      <c r="B236" s="1771" t="s">
        <v>1334</v>
      </c>
      <c r="C236" s="1781"/>
      <c r="D236" s="1781"/>
      <c r="E236" s="1781"/>
      <c r="F236" s="1773">
        <v>0.14299999999999999</v>
      </c>
    </row>
    <row r="237" spans="1:6" ht="24.75" thickBot="1">
      <c r="A237" s="1767" t="s">
        <v>1402</v>
      </c>
      <c r="B237" s="1771" t="s">
        <v>2152</v>
      </c>
      <c r="C237" s="1781"/>
      <c r="D237" s="1781"/>
      <c r="E237" s="1781"/>
      <c r="F237" s="1773">
        <v>0.05</v>
      </c>
    </row>
    <row r="238" spans="1:6" ht="24.75" thickBot="1">
      <c r="A238" s="1767" t="s">
        <v>1402</v>
      </c>
      <c r="B238" s="1771" t="s">
        <v>2153</v>
      </c>
      <c r="C238" s="1781"/>
      <c r="D238" s="1781"/>
      <c r="E238" s="1781"/>
      <c r="F238" s="1773">
        <v>0.05</v>
      </c>
    </row>
    <row r="239" spans="1:6" ht="24.75" thickBot="1">
      <c r="A239" s="1767" t="s">
        <v>1402</v>
      </c>
      <c r="B239" s="1771" t="s">
        <v>2154</v>
      </c>
      <c r="C239" s="1781"/>
      <c r="D239" s="1781"/>
      <c r="E239" s="1781"/>
      <c r="F239" s="1773">
        <v>0.05</v>
      </c>
    </row>
    <row r="240" spans="1:6" ht="24.75" thickBot="1">
      <c r="A240" s="1767" t="s">
        <v>1402</v>
      </c>
      <c r="B240" s="1771" t="s">
        <v>2155</v>
      </c>
      <c r="C240" s="1781"/>
      <c r="D240" s="1781"/>
      <c r="E240" s="1781"/>
      <c r="F240" s="1773">
        <v>0.05</v>
      </c>
    </row>
    <row r="241" spans="1:6" ht="24.75" thickBot="1">
      <c r="A241" s="1767" t="s">
        <v>1402</v>
      </c>
      <c r="B241" s="1771" t="s">
        <v>2156</v>
      </c>
      <c r="C241" s="1781"/>
      <c r="D241" s="1781"/>
      <c r="E241" s="1781"/>
      <c r="F241" s="1773">
        <v>0.05</v>
      </c>
    </row>
    <row r="242" spans="1:6" ht="24.75" thickBot="1">
      <c r="A242" s="1767" t="s">
        <v>1402</v>
      </c>
      <c r="B242" s="1771" t="s">
        <v>2157</v>
      </c>
      <c r="C242" s="1781"/>
      <c r="D242" s="1781"/>
      <c r="E242" s="1781"/>
      <c r="F242" s="1773">
        <v>0.05</v>
      </c>
    </row>
    <row r="243" spans="1:6" ht="24.75" thickBot="1">
      <c r="A243" s="1767" t="s">
        <v>1402</v>
      </c>
      <c r="B243" s="1771" t="s">
        <v>2158</v>
      </c>
      <c r="C243" s="1781"/>
      <c r="D243" s="1781"/>
      <c r="E243" s="1781"/>
      <c r="F243" s="1773">
        <v>0.05</v>
      </c>
    </row>
    <row r="244" spans="1:6" ht="24.75" thickBot="1">
      <c r="A244" s="1775" t="s">
        <v>1402</v>
      </c>
      <c r="B244" s="1782" t="s">
        <v>2159</v>
      </c>
      <c r="C244" s="1778"/>
      <c r="D244" s="1778"/>
      <c r="E244" s="1778"/>
      <c r="F244" s="1783">
        <v>0.05</v>
      </c>
    </row>
    <row r="245" spans="1:6" ht="14.25" thickBot="1">
      <c r="A245" s="1767" t="s">
        <v>1404</v>
      </c>
      <c r="B245" s="1768" t="s">
        <v>2160</v>
      </c>
      <c r="C245" s="1769">
        <v>0.15</v>
      </c>
      <c r="D245" s="1769">
        <v>0.15</v>
      </c>
      <c r="E245" s="1769">
        <v>0.15</v>
      </c>
      <c r="F245" s="1770">
        <v>0.14299999999999999</v>
      </c>
    </row>
    <row r="246" spans="1:6" ht="14.25" thickBot="1">
      <c r="A246" s="1767" t="s">
        <v>1404</v>
      </c>
      <c r="B246" s="1771" t="s">
        <v>1067</v>
      </c>
      <c r="C246" s="1772">
        <v>0.15</v>
      </c>
      <c r="D246" s="1772">
        <v>0.15</v>
      </c>
      <c r="E246" s="1772">
        <v>0.15</v>
      </c>
      <c r="F246" s="1773">
        <v>0.114</v>
      </c>
    </row>
    <row r="247" spans="1:6" ht="14.25" thickBot="1">
      <c r="A247" s="1767" t="s">
        <v>1404</v>
      </c>
      <c r="B247" s="1771" t="s">
        <v>2161</v>
      </c>
      <c r="C247" s="1772">
        <v>0.15</v>
      </c>
      <c r="D247" s="1772">
        <v>0.15</v>
      </c>
      <c r="E247" s="1772">
        <v>0.15</v>
      </c>
      <c r="F247" s="1773">
        <v>0.15</v>
      </c>
    </row>
    <row r="248" spans="1:6" ht="14.25" thickBot="1">
      <c r="A248" s="1767" t="s">
        <v>1404</v>
      </c>
      <c r="B248" s="1771" t="s">
        <v>2162</v>
      </c>
      <c r="C248" s="1772">
        <v>0.15</v>
      </c>
      <c r="D248" s="1772">
        <v>0.15</v>
      </c>
      <c r="E248" s="1772">
        <v>0.15</v>
      </c>
      <c r="F248" s="1773">
        <v>0.14000000000000001</v>
      </c>
    </row>
    <row r="249" spans="1:6" ht="14.25" thickBot="1">
      <c r="A249" s="1767" t="s">
        <v>1404</v>
      </c>
      <c r="B249" s="1771" t="s">
        <v>2163</v>
      </c>
      <c r="C249" s="1772">
        <v>0.15</v>
      </c>
      <c r="D249" s="1772">
        <v>0.14899999999999999</v>
      </c>
      <c r="E249" s="1772">
        <v>0.15</v>
      </c>
      <c r="F249" s="1773">
        <v>0.1</v>
      </c>
    </row>
    <row r="250" spans="1:6" ht="14.25" thickBot="1">
      <c r="A250" s="1767" t="s">
        <v>1404</v>
      </c>
      <c r="B250" s="1771" t="s">
        <v>2164</v>
      </c>
      <c r="C250" s="1772">
        <v>0.15</v>
      </c>
      <c r="D250" s="1772">
        <v>0.15</v>
      </c>
      <c r="E250" s="1772">
        <v>0.15</v>
      </c>
      <c r="F250" s="1773">
        <v>0.14399999999999999</v>
      </c>
    </row>
    <row r="251" spans="1:6" ht="14.25" thickBot="1">
      <c r="A251" s="1767" t="s">
        <v>1404</v>
      </c>
      <c r="B251" s="1771" t="s">
        <v>1130</v>
      </c>
      <c r="C251" s="1772">
        <v>0.15</v>
      </c>
      <c r="D251" s="1772">
        <v>0.15</v>
      </c>
      <c r="E251" s="1772">
        <v>0.15</v>
      </c>
      <c r="F251" s="1773">
        <v>0.14299999999999999</v>
      </c>
    </row>
    <row r="252" spans="1:6" ht="14.25" thickBot="1">
      <c r="A252" s="1767" t="s">
        <v>1404</v>
      </c>
      <c r="B252" s="1771" t="s">
        <v>1141</v>
      </c>
      <c r="C252" s="1772">
        <v>0.15</v>
      </c>
      <c r="D252" s="1772">
        <v>0.15</v>
      </c>
      <c r="E252" s="1772">
        <v>0.15</v>
      </c>
      <c r="F252" s="1773">
        <v>0.1</v>
      </c>
    </row>
    <row r="253" spans="1:6" ht="14.25" thickBot="1">
      <c r="A253" s="1767" t="s">
        <v>1404</v>
      </c>
      <c r="B253" s="1771" t="s">
        <v>1153</v>
      </c>
      <c r="C253" s="1772">
        <v>0.15</v>
      </c>
      <c r="D253" s="1772">
        <v>0.15</v>
      </c>
      <c r="E253" s="1772">
        <v>0.15</v>
      </c>
      <c r="F253" s="1773">
        <v>0.1</v>
      </c>
    </row>
    <row r="254" spans="1:6" ht="14.25" thickBot="1">
      <c r="A254" s="1767" t="s">
        <v>1404</v>
      </c>
      <c r="B254" s="1771" t="s">
        <v>1163</v>
      </c>
      <c r="C254" s="1781"/>
      <c r="D254" s="1781"/>
      <c r="E254" s="1781"/>
      <c r="F254" s="1773">
        <v>0.15</v>
      </c>
    </row>
    <row r="255" spans="1:6" ht="14.25" thickBot="1">
      <c r="A255" s="1767" t="s">
        <v>1404</v>
      </c>
      <c r="B255" s="1771" t="s">
        <v>1173</v>
      </c>
      <c r="C255" s="1781"/>
      <c r="D255" s="1781"/>
      <c r="E255" s="1781"/>
      <c r="F255" s="1773">
        <v>0.14299999999999999</v>
      </c>
    </row>
    <row r="256" spans="1:6" ht="14.25" thickBot="1">
      <c r="A256" s="1767" t="s">
        <v>1404</v>
      </c>
      <c r="B256" s="1771" t="s">
        <v>2165</v>
      </c>
      <c r="C256" s="1772">
        <v>0.14599999999999999</v>
      </c>
      <c r="D256" s="1772">
        <v>0.14699999999999999</v>
      </c>
      <c r="E256" s="1772">
        <v>0.15</v>
      </c>
      <c r="F256" s="1773">
        <v>0.13200000000000001</v>
      </c>
    </row>
    <row r="257" spans="1:6" ht="14.25" thickBot="1">
      <c r="A257" s="1767" t="s">
        <v>1404</v>
      </c>
      <c r="B257" s="1771" t="s">
        <v>1193</v>
      </c>
      <c r="C257" s="1772">
        <v>0.15</v>
      </c>
      <c r="D257" s="1772">
        <v>0.15</v>
      </c>
      <c r="E257" s="1772">
        <v>0.15</v>
      </c>
      <c r="F257" s="1773">
        <v>0.13900000000000001</v>
      </c>
    </row>
    <row r="258" spans="1:6" ht="14.25" thickBot="1">
      <c r="A258" s="1767" t="s">
        <v>1404</v>
      </c>
      <c r="B258" s="1771" t="s">
        <v>1203</v>
      </c>
      <c r="C258" s="1772">
        <v>0.15</v>
      </c>
      <c r="D258" s="1772">
        <v>0.15</v>
      </c>
      <c r="E258" s="1772">
        <v>0.15</v>
      </c>
      <c r="F258" s="1773">
        <v>0.13</v>
      </c>
    </row>
    <row r="259" spans="1:6" ht="14.25" thickBot="1">
      <c r="A259" s="1767" t="s">
        <v>1404</v>
      </c>
      <c r="B259" s="1771" t="s">
        <v>2166</v>
      </c>
      <c r="C259" s="1772">
        <v>0.14799999999999999</v>
      </c>
      <c r="D259" s="1772">
        <v>0.14899999999999999</v>
      </c>
      <c r="E259" s="1772">
        <v>0.15</v>
      </c>
      <c r="F259" s="1773">
        <v>0.13700000000000001</v>
      </c>
    </row>
    <row r="260" spans="1:6" ht="14.25" thickBot="1">
      <c r="A260" s="1767" t="s">
        <v>1404</v>
      </c>
      <c r="B260" s="1771" t="s">
        <v>1223</v>
      </c>
      <c r="C260" s="1772">
        <v>0.15</v>
      </c>
      <c r="D260" s="1772">
        <v>0.15</v>
      </c>
      <c r="E260" s="1772">
        <v>0.15</v>
      </c>
      <c r="F260" s="1773">
        <v>0.14199999999999999</v>
      </c>
    </row>
    <row r="261" spans="1:6" ht="14.25" thickBot="1">
      <c r="A261" s="1767" t="s">
        <v>1404</v>
      </c>
      <c r="B261" s="1771" t="s">
        <v>1233</v>
      </c>
      <c r="C261" s="1772">
        <v>0.15</v>
      </c>
      <c r="D261" s="1772">
        <v>0.15</v>
      </c>
      <c r="E261" s="1772">
        <v>0.14899999999999999</v>
      </c>
      <c r="F261" s="1773">
        <v>0.14799999999999999</v>
      </c>
    </row>
    <row r="262" spans="1:6" ht="14.25" thickBot="1">
      <c r="A262" s="1767" t="s">
        <v>1404</v>
      </c>
      <c r="B262" s="1771" t="s">
        <v>1243</v>
      </c>
      <c r="C262" s="1772">
        <v>0.15</v>
      </c>
      <c r="D262" s="1772">
        <v>0.15</v>
      </c>
      <c r="E262" s="1772">
        <v>0.15</v>
      </c>
      <c r="F262" s="1780"/>
    </row>
    <row r="263" spans="1:6" ht="14.25" thickBot="1">
      <c r="A263" s="1767" t="s">
        <v>1404</v>
      </c>
      <c r="B263" s="1771" t="s">
        <v>2167</v>
      </c>
      <c r="C263" s="1772">
        <v>0.14899999999999999</v>
      </c>
      <c r="D263" s="1772">
        <v>0.14899999999999999</v>
      </c>
      <c r="E263" s="1772">
        <v>0.15</v>
      </c>
      <c r="F263" s="1773">
        <v>0.13</v>
      </c>
    </row>
    <row r="264" spans="1:6" ht="14.25" thickBot="1">
      <c r="A264" s="1767" t="s">
        <v>1404</v>
      </c>
      <c r="B264" s="1771" t="s">
        <v>1262</v>
      </c>
      <c r="C264" s="1772">
        <v>0.14799999999999999</v>
      </c>
      <c r="D264" s="1772">
        <v>0.14699999999999999</v>
      </c>
      <c r="E264" s="1772">
        <v>0.15</v>
      </c>
      <c r="F264" s="1773">
        <v>7.8E-2</v>
      </c>
    </row>
    <row r="265" spans="1:6" ht="14.25" thickBot="1">
      <c r="A265" s="1767" t="s">
        <v>1404</v>
      </c>
      <c r="B265" s="1771" t="s">
        <v>1271</v>
      </c>
      <c r="C265" s="1772">
        <v>0.15</v>
      </c>
      <c r="D265" s="1772">
        <v>0.15</v>
      </c>
      <c r="E265" s="1772">
        <v>0.15</v>
      </c>
      <c r="F265" s="1773">
        <v>7.3999999999999996E-2</v>
      </c>
    </row>
    <row r="266" spans="1:6" ht="14.25" thickBot="1">
      <c r="A266" s="1767" t="s">
        <v>1404</v>
      </c>
      <c r="B266" s="1771" t="s">
        <v>1279</v>
      </c>
      <c r="C266" s="1772">
        <v>0.14699999999999999</v>
      </c>
      <c r="D266" s="1772">
        <v>0.14699999999999999</v>
      </c>
      <c r="E266" s="1772">
        <v>0.15</v>
      </c>
      <c r="F266" s="1773">
        <v>0.14299999999999999</v>
      </c>
    </row>
    <row r="267" spans="1:6" ht="14.25" thickBot="1">
      <c r="A267" s="1767" t="s">
        <v>1404</v>
      </c>
      <c r="B267" s="1771" t="s">
        <v>1286</v>
      </c>
      <c r="C267" s="1772">
        <v>0.14199999999999999</v>
      </c>
      <c r="D267" s="1772">
        <v>0.14299999999999999</v>
      </c>
      <c r="E267" s="1772">
        <v>0.15</v>
      </c>
      <c r="F267" s="1780"/>
    </row>
    <row r="268" spans="1:6" ht="14.25" thickBot="1">
      <c r="A268" s="1767" t="s">
        <v>1404</v>
      </c>
      <c r="B268" s="1771" t="s">
        <v>2168</v>
      </c>
      <c r="C268" s="1772">
        <v>0.15</v>
      </c>
      <c r="D268" s="1772">
        <v>0.15</v>
      </c>
      <c r="E268" s="1772">
        <v>0.15</v>
      </c>
      <c r="F268" s="1773">
        <v>0.13</v>
      </c>
    </row>
    <row r="269" spans="1:6" ht="14.25" thickBot="1">
      <c r="A269" s="1767" t="s">
        <v>1404</v>
      </c>
      <c r="B269" s="1771" t="s">
        <v>1300</v>
      </c>
      <c r="C269" s="1772">
        <v>0.15</v>
      </c>
      <c r="D269" s="1772">
        <v>0.15</v>
      </c>
      <c r="E269" s="1772">
        <v>0.15</v>
      </c>
      <c r="F269" s="1773">
        <v>0.14299999999999999</v>
      </c>
    </row>
    <row r="270" spans="1:6" ht="14.25" thickBot="1">
      <c r="A270" s="1767" t="s">
        <v>1404</v>
      </c>
      <c r="B270" s="1771" t="s">
        <v>1307</v>
      </c>
      <c r="C270" s="1772">
        <v>0.14499999999999999</v>
      </c>
      <c r="D270" s="1772">
        <v>0.14499999999999999</v>
      </c>
      <c r="E270" s="1772">
        <v>0.15</v>
      </c>
      <c r="F270" s="1773">
        <v>0.14699999999999999</v>
      </c>
    </row>
    <row r="271" spans="1:6" ht="14.25" thickBot="1">
      <c r="A271" s="1767" t="s">
        <v>1404</v>
      </c>
      <c r="B271" s="1771" t="s">
        <v>1314</v>
      </c>
      <c r="C271" s="1772">
        <v>0.15</v>
      </c>
      <c r="D271" s="1772">
        <v>0.15</v>
      </c>
      <c r="E271" s="1772">
        <v>0.15</v>
      </c>
      <c r="F271" s="1773">
        <v>0.13800000000000001</v>
      </c>
    </row>
    <row r="272" spans="1:6" ht="14.25" thickBot="1">
      <c r="A272" s="1767" t="s">
        <v>1404</v>
      </c>
      <c r="B272" s="1771" t="s">
        <v>1321</v>
      </c>
      <c r="C272" s="1781"/>
      <c r="D272" s="1781"/>
      <c r="E272" s="1781"/>
      <c r="F272" s="1773">
        <v>0.14000000000000001</v>
      </c>
    </row>
    <row r="273" spans="1:6" ht="14.25" thickBot="1">
      <c r="A273" s="1767" t="s">
        <v>1404</v>
      </c>
      <c r="B273" s="1771" t="s">
        <v>2169</v>
      </c>
      <c r="C273" s="1772">
        <v>0.14199999999999999</v>
      </c>
      <c r="D273" s="1772">
        <v>0.14299999999999999</v>
      </c>
      <c r="E273" s="1772">
        <v>0.15</v>
      </c>
      <c r="F273" s="1773">
        <v>0.1</v>
      </c>
    </row>
    <row r="274" spans="1:6" ht="14.25" thickBot="1">
      <c r="A274" s="1767" t="s">
        <v>1404</v>
      </c>
      <c r="B274" s="1771" t="s">
        <v>2170</v>
      </c>
      <c r="C274" s="1772">
        <v>0.14799999999999999</v>
      </c>
      <c r="D274" s="1772">
        <v>0.14799999999999999</v>
      </c>
      <c r="E274" s="1772">
        <v>0.15</v>
      </c>
      <c r="F274" s="1773">
        <v>6.7000000000000004E-2</v>
      </c>
    </row>
    <row r="275" spans="1:6" ht="14.25" thickBot="1">
      <c r="A275" s="1767" t="s">
        <v>1404</v>
      </c>
      <c r="B275" s="1771" t="s">
        <v>2171</v>
      </c>
      <c r="C275" s="1772">
        <v>0.15</v>
      </c>
      <c r="D275" s="1772">
        <v>0.15</v>
      </c>
      <c r="E275" s="1772">
        <v>0.15</v>
      </c>
      <c r="F275" s="1773">
        <v>0.15</v>
      </c>
    </row>
    <row r="276" spans="1:6" ht="14.25" thickBot="1">
      <c r="A276" s="1767" t="s">
        <v>1404</v>
      </c>
      <c r="B276" s="1771" t="s">
        <v>2172</v>
      </c>
      <c r="C276" s="1772">
        <v>0.14499999999999999</v>
      </c>
      <c r="D276" s="1772">
        <v>0.14299999999999999</v>
      </c>
      <c r="E276" s="1772">
        <v>0.15</v>
      </c>
      <c r="F276" s="1773">
        <v>5.8999999999999997E-2</v>
      </c>
    </row>
    <row r="277" spans="1:6" ht="14.25" thickBot="1">
      <c r="A277" s="1767" t="s">
        <v>1404</v>
      </c>
      <c r="B277" s="1771" t="s">
        <v>2173</v>
      </c>
      <c r="C277" s="1772">
        <v>0.15</v>
      </c>
      <c r="D277" s="1772">
        <v>0.15</v>
      </c>
      <c r="E277" s="1772">
        <v>0.15</v>
      </c>
      <c r="F277" s="1773">
        <v>0.121</v>
      </c>
    </row>
    <row r="278" spans="1:6" ht="14.25" thickBot="1">
      <c r="A278" s="1767" t="s">
        <v>1404</v>
      </c>
      <c r="B278" s="1771" t="s">
        <v>2174</v>
      </c>
      <c r="C278" s="1772">
        <v>0.15</v>
      </c>
      <c r="D278" s="1772">
        <v>0.15</v>
      </c>
      <c r="E278" s="1772">
        <v>0.15</v>
      </c>
      <c r="F278" s="1773">
        <v>0.13800000000000001</v>
      </c>
    </row>
    <row r="279" spans="1:6" ht="24.75" thickBot="1">
      <c r="A279" s="1767" t="s">
        <v>1404</v>
      </c>
      <c r="B279" s="1771" t="s">
        <v>2175</v>
      </c>
      <c r="C279" s="1781"/>
      <c r="D279" s="1781"/>
      <c r="E279" s="1781"/>
      <c r="F279" s="1773">
        <v>0.05</v>
      </c>
    </row>
    <row r="280" spans="1:6" ht="24.75" thickBot="1">
      <c r="A280" s="1767" t="s">
        <v>1404</v>
      </c>
      <c r="B280" s="1771" t="s">
        <v>2176</v>
      </c>
      <c r="C280" s="1781"/>
      <c r="D280" s="1781"/>
      <c r="E280" s="1781"/>
      <c r="F280" s="1773">
        <v>0.05</v>
      </c>
    </row>
    <row r="281" spans="1:6" ht="24.75" thickBot="1">
      <c r="A281" s="1767" t="s">
        <v>1404</v>
      </c>
      <c r="B281" s="1771" t="s">
        <v>2177</v>
      </c>
      <c r="C281" s="1781"/>
      <c r="D281" s="1781"/>
      <c r="E281" s="1781"/>
      <c r="F281" s="1773">
        <v>0.05</v>
      </c>
    </row>
    <row r="282" spans="1:6" ht="24.75" thickBot="1">
      <c r="A282" s="1767" t="s">
        <v>1404</v>
      </c>
      <c r="B282" s="1771" t="s">
        <v>2178</v>
      </c>
      <c r="C282" s="1781"/>
      <c r="D282" s="1781"/>
      <c r="E282" s="1781"/>
      <c r="F282" s="1773">
        <v>0.05</v>
      </c>
    </row>
    <row r="283" spans="1:6" ht="24.75" thickBot="1">
      <c r="A283" s="1767" t="s">
        <v>1404</v>
      </c>
      <c r="B283" s="1771" t="s">
        <v>2179</v>
      </c>
      <c r="C283" s="1781"/>
      <c r="D283" s="1781"/>
      <c r="E283" s="1781"/>
      <c r="F283" s="1773">
        <v>0.05</v>
      </c>
    </row>
    <row r="284" spans="1:6" ht="24.75" thickBot="1">
      <c r="A284" s="1767" t="s">
        <v>1404</v>
      </c>
      <c r="B284" s="1771" t="s">
        <v>2180</v>
      </c>
      <c r="C284" s="1781"/>
      <c r="D284" s="1781"/>
      <c r="E284" s="1781"/>
      <c r="F284" s="1773">
        <v>0.05</v>
      </c>
    </row>
    <row r="285" spans="1:6" ht="24.75" thickBot="1">
      <c r="A285" s="1767" t="s">
        <v>1404</v>
      </c>
      <c r="B285" s="1771" t="s">
        <v>2181</v>
      </c>
      <c r="C285" s="1781"/>
      <c r="D285" s="1781"/>
      <c r="E285" s="1781"/>
      <c r="F285" s="1773">
        <v>0.05</v>
      </c>
    </row>
    <row r="286" spans="1:6" ht="24.75" thickBot="1">
      <c r="A286" s="1767" t="s">
        <v>1404</v>
      </c>
      <c r="B286" s="1771" t="s">
        <v>2182</v>
      </c>
      <c r="C286" s="1781"/>
      <c r="D286" s="1781"/>
      <c r="E286" s="1781"/>
      <c r="F286" s="1773">
        <v>0.05</v>
      </c>
    </row>
    <row r="287" spans="1:6" ht="24.75" thickBot="1">
      <c r="A287" s="1767" t="s">
        <v>1404</v>
      </c>
      <c r="B287" s="1771" t="s">
        <v>2183</v>
      </c>
      <c r="C287" s="1781"/>
      <c r="D287" s="1781"/>
      <c r="E287" s="1781"/>
      <c r="F287" s="1773">
        <v>0.05</v>
      </c>
    </row>
    <row r="288" spans="1:6" ht="24.75" thickBot="1">
      <c r="A288" s="1767" t="s">
        <v>1404</v>
      </c>
      <c r="B288" s="1771" t="s">
        <v>2184</v>
      </c>
      <c r="C288" s="1781"/>
      <c r="D288" s="1781"/>
      <c r="E288" s="1781"/>
      <c r="F288" s="1773">
        <v>0.05</v>
      </c>
    </row>
    <row r="289" spans="1:6" ht="24.75" thickBot="1">
      <c r="A289" s="1775" t="s">
        <v>1404</v>
      </c>
      <c r="B289" s="1782" t="s">
        <v>2185</v>
      </c>
      <c r="C289" s="1778"/>
      <c r="D289" s="1778"/>
      <c r="E289" s="1778"/>
      <c r="F289" s="1783">
        <v>0.05</v>
      </c>
    </row>
    <row r="290" spans="1:6" ht="14.25" thickBot="1">
      <c r="A290" s="1767" t="s">
        <v>1408</v>
      </c>
      <c r="B290" s="1768" t="s">
        <v>2186</v>
      </c>
      <c r="C290" s="1769">
        <v>0.15</v>
      </c>
      <c r="D290" s="1769">
        <v>0.15</v>
      </c>
      <c r="E290" s="1769">
        <v>0.15</v>
      </c>
      <c r="F290" s="1791"/>
    </row>
    <row r="291" spans="1:6" ht="14.25" thickBot="1">
      <c r="A291" s="1767" t="s">
        <v>1408</v>
      </c>
      <c r="B291" s="1771" t="s">
        <v>1068</v>
      </c>
      <c r="C291" s="1772">
        <v>0.15</v>
      </c>
      <c r="D291" s="1772">
        <v>0.15</v>
      </c>
      <c r="E291" s="1772">
        <v>0.15</v>
      </c>
      <c r="F291" s="1780"/>
    </row>
    <row r="292" spans="1:6" ht="14.25" thickBot="1">
      <c r="A292" s="1767" t="s">
        <v>1408</v>
      </c>
      <c r="B292" s="1771" t="s">
        <v>2187</v>
      </c>
      <c r="C292" s="1772">
        <v>0.15</v>
      </c>
      <c r="D292" s="1772">
        <v>0.15</v>
      </c>
      <c r="E292" s="1772">
        <v>0.15</v>
      </c>
      <c r="F292" s="1773">
        <v>0.14699999999999999</v>
      </c>
    </row>
    <row r="293" spans="1:6" ht="14.25" thickBot="1">
      <c r="A293" s="1767" t="s">
        <v>1408</v>
      </c>
      <c r="B293" s="1771" t="s">
        <v>2188</v>
      </c>
      <c r="C293" s="1781"/>
      <c r="D293" s="1781"/>
      <c r="E293" s="1781"/>
      <c r="F293" s="1773">
        <v>0.1</v>
      </c>
    </row>
    <row r="294" spans="1:6" ht="14.25" thickBot="1">
      <c r="A294" s="1767" t="s">
        <v>1408</v>
      </c>
      <c r="B294" s="1771" t="s">
        <v>2189</v>
      </c>
      <c r="C294" s="1772">
        <v>0.15</v>
      </c>
      <c r="D294" s="1772">
        <v>0.15</v>
      </c>
      <c r="E294" s="1772">
        <v>0.15</v>
      </c>
      <c r="F294" s="1773">
        <v>0.15</v>
      </c>
    </row>
    <row r="295" spans="1:6" ht="14.25" thickBot="1">
      <c r="A295" s="1767" t="s">
        <v>1408</v>
      </c>
      <c r="B295" s="1771" t="s">
        <v>1109</v>
      </c>
      <c r="C295" s="1772">
        <v>0.15</v>
      </c>
      <c r="D295" s="1772">
        <v>0.15</v>
      </c>
      <c r="E295" s="1772">
        <v>0.15</v>
      </c>
      <c r="F295" s="1773">
        <v>0.15</v>
      </c>
    </row>
    <row r="296" spans="1:6" ht="14.25" thickBot="1">
      <c r="A296" s="1767" t="s">
        <v>1408</v>
      </c>
      <c r="B296" s="1771" t="s">
        <v>2190</v>
      </c>
      <c r="C296" s="1772">
        <v>0.15</v>
      </c>
      <c r="D296" s="1772">
        <v>0.15</v>
      </c>
      <c r="E296" s="1772">
        <v>0.15</v>
      </c>
      <c r="F296" s="1773">
        <v>0.15</v>
      </c>
    </row>
    <row r="297" spans="1:6" ht="14.25" thickBot="1">
      <c r="A297" s="1767" t="s">
        <v>1408</v>
      </c>
      <c r="B297" s="1771" t="s">
        <v>2191</v>
      </c>
      <c r="C297" s="1772">
        <v>0.14799999999999999</v>
      </c>
      <c r="D297" s="1772">
        <v>0.14899999999999999</v>
      </c>
      <c r="E297" s="1772">
        <v>0.15</v>
      </c>
      <c r="F297" s="1773">
        <v>0.13700000000000001</v>
      </c>
    </row>
    <row r="298" spans="1:6" ht="14.25" thickBot="1">
      <c r="A298" s="1767" t="s">
        <v>1408</v>
      </c>
      <c r="B298" s="1771" t="s">
        <v>1142</v>
      </c>
      <c r="C298" s="1772">
        <v>0.13400000000000001</v>
      </c>
      <c r="D298" s="1772">
        <v>0.13400000000000001</v>
      </c>
      <c r="E298" s="1772">
        <v>0.14499999999999999</v>
      </c>
      <c r="F298" s="1773">
        <v>0.14799999999999999</v>
      </c>
    </row>
    <row r="299" spans="1:6" ht="14.25" thickBot="1">
      <c r="A299" s="1767" t="s">
        <v>1408</v>
      </c>
      <c r="B299" s="1771" t="s">
        <v>1154</v>
      </c>
      <c r="C299" s="1772">
        <v>0.15</v>
      </c>
      <c r="D299" s="1772">
        <v>0.15</v>
      </c>
      <c r="E299" s="1772">
        <v>0.15</v>
      </c>
      <c r="F299" s="1780"/>
    </row>
    <row r="300" spans="1:6" ht="14.25" thickBot="1">
      <c r="A300" s="1767" t="s">
        <v>1408</v>
      </c>
      <c r="B300" s="1771" t="s">
        <v>2192</v>
      </c>
      <c r="C300" s="1772">
        <v>0.15</v>
      </c>
      <c r="D300" s="1772">
        <v>0.15</v>
      </c>
      <c r="E300" s="1772">
        <v>0.15</v>
      </c>
      <c r="F300" s="1773">
        <v>0.15</v>
      </c>
    </row>
    <row r="301" spans="1:6" ht="14.25" thickBot="1">
      <c r="A301" s="1767" t="s">
        <v>1408</v>
      </c>
      <c r="B301" s="1771" t="s">
        <v>1174</v>
      </c>
      <c r="C301" s="1772">
        <v>0.15</v>
      </c>
      <c r="D301" s="1772">
        <v>0.15</v>
      </c>
      <c r="E301" s="1772">
        <v>0.15</v>
      </c>
      <c r="F301" s="1780"/>
    </row>
    <row r="302" spans="1:6" ht="14.25" thickBot="1">
      <c r="A302" s="1767" t="s">
        <v>1408</v>
      </c>
      <c r="B302" s="1771" t="s">
        <v>2193</v>
      </c>
      <c r="C302" s="1772">
        <v>0.15</v>
      </c>
      <c r="D302" s="1772">
        <v>0.15</v>
      </c>
      <c r="E302" s="1772">
        <v>0.15</v>
      </c>
      <c r="F302" s="1773">
        <v>0.15</v>
      </c>
    </row>
    <row r="303" spans="1:6" ht="14.25" thickBot="1">
      <c r="A303" s="1767" t="s">
        <v>1408</v>
      </c>
      <c r="B303" s="1771" t="s">
        <v>1194</v>
      </c>
      <c r="C303" s="1772">
        <v>0.15</v>
      </c>
      <c r="D303" s="1772">
        <v>0.15</v>
      </c>
      <c r="E303" s="1772">
        <v>0.15</v>
      </c>
      <c r="F303" s="1773">
        <v>0.15</v>
      </c>
    </row>
    <row r="304" spans="1:6" ht="14.25" thickBot="1">
      <c r="A304" s="1767" t="s">
        <v>1408</v>
      </c>
      <c r="B304" s="1771" t="s">
        <v>1204</v>
      </c>
      <c r="C304" s="1772">
        <v>0.15</v>
      </c>
      <c r="D304" s="1772">
        <v>0.15</v>
      </c>
      <c r="E304" s="1772">
        <v>0.15</v>
      </c>
      <c r="F304" s="1780"/>
    </row>
    <row r="305" spans="1:6" ht="14.25" thickBot="1">
      <c r="A305" s="1767" t="s">
        <v>1408</v>
      </c>
      <c r="B305" s="1771" t="s">
        <v>2194</v>
      </c>
      <c r="C305" s="1772">
        <v>0.15</v>
      </c>
      <c r="D305" s="1772">
        <v>0.15</v>
      </c>
      <c r="E305" s="1772">
        <v>0.15</v>
      </c>
      <c r="F305" s="1773">
        <v>0.14000000000000001</v>
      </c>
    </row>
    <row r="306" spans="1:6" ht="14.25" thickBot="1">
      <c r="A306" s="1767" t="s">
        <v>1408</v>
      </c>
      <c r="B306" s="1771" t="s">
        <v>1224</v>
      </c>
      <c r="C306" s="1772">
        <v>0.15</v>
      </c>
      <c r="D306" s="1772">
        <v>0.15</v>
      </c>
      <c r="E306" s="1772">
        <v>0.15</v>
      </c>
      <c r="F306" s="1780"/>
    </row>
    <row r="307" spans="1:6" ht="14.25" thickBot="1">
      <c r="A307" s="1767" t="s">
        <v>1408</v>
      </c>
      <c r="B307" s="1771" t="s">
        <v>2195</v>
      </c>
      <c r="C307" s="1772">
        <v>0.15</v>
      </c>
      <c r="D307" s="1772">
        <v>0.15</v>
      </c>
      <c r="E307" s="1772">
        <v>0.15</v>
      </c>
      <c r="F307" s="1773">
        <v>0.14299999999999999</v>
      </c>
    </row>
    <row r="308" spans="1:6" ht="14.25" thickBot="1">
      <c r="A308" s="1767" t="s">
        <v>1408</v>
      </c>
      <c r="B308" s="1771" t="s">
        <v>1244</v>
      </c>
      <c r="C308" s="1772">
        <v>0.15</v>
      </c>
      <c r="D308" s="1772">
        <v>0.15</v>
      </c>
      <c r="E308" s="1772">
        <v>0.15</v>
      </c>
      <c r="F308" s="1773">
        <v>0.15</v>
      </c>
    </row>
    <row r="309" spans="1:6" ht="14.25" thickBot="1">
      <c r="A309" s="1767" t="s">
        <v>1408</v>
      </c>
      <c r="B309" s="1771" t="s">
        <v>1254</v>
      </c>
      <c r="C309" s="1772">
        <v>0.15</v>
      </c>
      <c r="D309" s="1772">
        <v>0.15</v>
      </c>
      <c r="E309" s="1772">
        <v>0.15</v>
      </c>
      <c r="F309" s="1780"/>
    </row>
    <row r="310" spans="1:6" ht="14.25" thickBot="1">
      <c r="A310" s="1767" t="s">
        <v>1408</v>
      </c>
      <c r="B310" s="1771" t="s">
        <v>2196</v>
      </c>
      <c r="C310" s="1772">
        <v>0.15</v>
      </c>
      <c r="D310" s="1772">
        <v>0.15</v>
      </c>
      <c r="E310" s="1772">
        <v>0.15</v>
      </c>
      <c r="F310" s="1773">
        <v>0.13700000000000001</v>
      </c>
    </row>
    <row r="311" spans="1:6" ht="14.25" thickBot="1">
      <c r="A311" s="1767" t="s">
        <v>1408</v>
      </c>
      <c r="B311" s="1771" t="s">
        <v>2197</v>
      </c>
      <c r="C311" s="1772">
        <v>0.15</v>
      </c>
      <c r="D311" s="1772">
        <v>0.15</v>
      </c>
      <c r="E311" s="1772">
        <v>0.15</v>
      </c>
      <c r="F311" s="1773">
        <v>0.15</v>
      </c>
    </row>
    <row r="312" spans="1:6" ht="14.25" thickBot="1">
      <c r="A312" s="1767" t="s">
        <v>1408</v>
      </c>
      <c r="B312" s="1771" t="s">
        <v>1280</v>
      </c>
      <c r="C312" s="1772">
        <v>0.15</v>
      </c>
      <c r="D312" s="1772">
        <v>0.15</v>
      </c>
      <c r="E312" s="1772">
        <v>0.15</v>
      </c>
      <c r="F312" s="1773">
        <v>0.1</v>
      </c>
    </row>
    <row r="313" spans="1:6" ht="14.25" thickBot="1">
      <c r="A313" s="1767" t="s">
        <v>1408</v>
      </c>
      <c r="B313" s="1771" t="s">
        <v>2198</v>
      </c>
      <c r="C313" s="1772">
        <v>0.15</v>
      </c>
      <c r="D313" s="1772">
        <v>0.15</v>
      </c>
      <c r="E313" s="1772">
        <v>0.15</v>
      </c>
      <c r="F313" s="1773">
        <v>0.15</v>
      </c>
    </row>
    <row r="314" spans="1:6" ht="24.75" thickBot="1">
      <c r="A314" s="1767" t="s">
        <v>1408</v>
      </c>
      <c r="B314" s="1771" t="s">
        <v>2199</v>
      </c>
      <c r="C314" s="1781"/>
      <c r="D314" s="1781"/>
      <c r="E314" s="1781"/>
      <c r="F314" s="1773">
        <v>0.05</v>
      </c>
    </row>
    <row r="315" spans="1:6" ht="24.75" thickBot="1">
      <c r="A315" s="1767" t="s">
        <v>1408</v>
      </c>
      <c r="B315" s="1771" t="s">
        <v>2200</v>
      </c>
      <c r="C315" s="1781"/>
      <c r="D315" s="1781"/>
      <c r="E315" s="1781"/>
      <c r="F315" s="1773">
        <v>0.05</v>
      </c>
    </row>
    <row r="316" spans="1:6" ht="24.75" thickBot="1">
      <c r="A316" s="1775" t="s">
        <v>1408</v>
      </c>
      <c r="B316" s="1782" t="s">
        <v>2201</v>
      </c>
      <c r="C316" s="1778"/>
      <c r="D316" s="1778"/>
      <c r="E316" s="1778"/>
      <c r="F316" s="1783">
        <v>0.05</v>
      </c>
    </row>
    <row r="317" spans="1:6" ht="14.25" thickBot="1">
      <c r="A317" s="1767" t="s">
        <v>2202</v>
      </c>
      <c r="B317" s="1768" t="s">
        <v>2203</v>
      </c>
      <c r="C317" s="1769">
        <v>0.15</v>
      </c>
      <c r="D317" s="1769">
        <v>0.15</v>
      </c>
      <c r="E317" s="1769">
        <v>0.15</v>
      </c>
      <c r="F317" s="1770">
        <v>0.15</v>
      </c>
    </row>
    <row r="318" spans="1:6" ht="14.25" thickBot="1">
      <c r="A318" s="1767" t="s">
        <v>2202</v>
      </c>
      <c r="B318" s="1771" t="s">
        <v>2204</v>
      </c>
      <c r="C318" s="1772">
        <v>0.107</v>
      </c>
      <c r="D318" s="1772">
        <v>0.11</v>
      </c>
      <c r="E318" s="1772">
        <v>0.112</v>
      </c>
      <c r="F318" s="1780"/>
    </row>
    <row r="319" spans="1:6" ht="14.25" thickBot="1">
      <c r="A319" s="1767" t="s">
        <v>2202</v>
      </c>
      <c r="B319" s="1771" t="s">
        <v>2205</v>
      </c>
      <c r="C319" s="1772">
        <v>0.15</v>
      </c>
      <c r="D319" s="1772">
        <v>0.15</v>
      </c>
      <c r="E319" s="1772">
        <v>0.15</v>
      </c>
      <c r="F319" s="1773">
        <v>0.15</v>
      </c>
    </row>
    <row r="320" spans="1:6" ht="14.25" thickBot="1">
      <c r="A320" s="1767" t="s">
        <v>2202</v>
      </c>
      <c r="B320" s="1771" t="s">
        <v>1096</v>
      </c>
      <c r="C320" s="1772">
        <v>0.15</v>
      </c>
      <c r="D320" s="1772">
        <v>0.15</v>
      </c>
      <c r="E320" s="1772">
        <v>0.15</v>
      </c>
      <c r="F320" s="1780"/>
    </row>
    <row r="321" spans="1:6" ht="14.25" thickBot="1">
      <c r="A321" s="1767" t="s">
        <v>2202</v>
      </c>
      <c r="B321" s="1771" t="s">
        <v>2206</v>
      </c>
      <c r="C321" s="1772">
        <v>0.15</v>
      </c>
      <c r="D321" s="1772">
        <v>0.15</v>
      </c>
      <c r="E321" s="1772">
        <v>0.15</v>
      </c>
      <c r="F321" s="1780"/>
    </row>
    <row r="322" spans="1:6" ht="14.25" thickBot="1">
      <c r="A322" s="1767" t="s">
        <v>2202</v>
      </c>
      <c r="B322" s="1771" t="s">
        <v>2207</v>
      </c>
      <c r="C322" s="1772">
        <v>0.15</v>
      </c>
      <c r="D322" s="1772">
        <v>0.15</v>
      </c>
      <c r="E322" s="1772">
        <v>0.15</v>
      </c>
      <c r="F322" s="1773">
        <v>0.15</v>
      </c>
    </row>
    <row r="323" spans="1:6" ht="14.25" thickBot="1">
      <c r="A323" s="1767" t="s">
        <v>2202</v>
      </c>
      <c r="B323" s="1771" t="s">
        <v>2208</v>
      </c>
      <c r="C323" s="1772">
        <v>0.15</v>
      </c>
      <c r="D323" s="1772">
        <v>0.15</v>
      </c>
      <c r="E323" s="1772">
        <v>0.15</v>
      </c>
      <c r="F323" s="1780"/>
    </row>
    <row r="324" spans="1:6" ht="14.25" thickBot="1">
      <c r="A324" s="1767" t="s">
        <v>2202</v>
      </c>
      <c r="B324" s="1771" t="s">
        <v>2209</v>
      </c>
      <c r="C324" s="1772">
        <v>0.15</v>
      </c>
      <c r="D324" s="1772">
        <v>0.15</v>
      </c>
      <c r="E324" s="1772">
        <v>0.15</v>
      </c>
      <c r="F324" s="1780"/>
    </row>
    <row r="325" spans="1:6" ht="14.25" thickBot="1">
      <c r="A325" s="1767" t="s">
        <v>2202</v>
      </c>
      <c r="B325" s="1771" t="s">
        <v>2210</v>
      </c>
      <c r="C325" s="1772">
        <v>0.15</v>
      </c>
      <c r="D325" s="1772">
        <v>0.15</v>
      </c>
      <c r="E325" s="1772">
        <v>0.15</v>
      </c>
      <c r="F325" s="1773">
        <v>0.14699999999999999</v>
      </c>
    </row>
    <row r="326" spans="1:6" ht="14.25" thickBot="1">
      <c r="A326" s="1767" t="s">
        <v>2202</v>
      </c>
      <c r="B326" s="1771" t="s">
        <v>1165</v>
      </c>
      <c r="C326" s="1772">
        <v>0.15</v>
      </c>
      <c r="D326" s="1772">
        <v>0.15</v>
      </c>
      <c r="E326" s="1772">
        <v>0.15</v>
      </c>
      <c r="F326" s="1780"/>
    </row>
    <row r="327" spans="1:6" ht="14.25" thickBot="1">
      <c r="A327" s="1767" t="s">
        <v>2202</v>
      </c>
      <c r="B327" s="1771" t="s">
        <v>2211</v>
      </c>
      <c r="C327" s="1772">
        <v>0.15</v>
      </c>
      <c r="D327" s="1772">
        <v>0.15</v>
      </c>
      <c r="E327" s="1772">
        <v>0.15</v>
      </c>
      <c r="F327" s="1773">
        <v>0.15</v>
      </c>
    </row>
    <row r="328" spans="1:6" ht="14.25" thickBot="1">
      <c r="A328" s="1767" t="s">
        <v>2202</v>
      </c>
      <c r="B328" s="1771" t="s">
        <v>1185</v>
      </c>
      <c r="C328" s="1772">
        <v>0.15</v>
      </c>
      <c r="D328" s="1772">
        <v>0.15</v>
      </c>
      <c r="E328" s="1772">
        <v>0.15</v>
      </c>
      <c r="F328" s="1773">
        <v>0.14099999999999999</v>
      </c>
    </row>
    <row r="329" spans="1:6" ht="14.25" thickBot="1">
      <c r="A329" s="1767" t="s">
        <v>2202</v>
      </c>
      <c r="B329" s="1771" t="s">
        <v>1195</v>
      </c>
      <c r="C329" s="1772">
        <v>0.15</v>
      </c>
      <c r="D329" s="1772">
        <v>0.15</v>
      </c>
      <c r="E329" s="1772">
        <v>0.15</v>
      </c>
      <c r="F329" s="1773">
        <v>0.15</v>
      </c>
    </row>
    <row r="330" spans="1:6" ht="14.25" thickBot="1">
      <c r="A330" s="1767" t="s">
        <v>2202</v>
      </c>
      <c r="B330" s="1771" t="s">
        <v>1205</v>
      </c>
      <c r="C330" s="1772">
        <v>0.15</v>
      </c>
      <c r="D330" s="1772">
        <v>0.15</v>
      </c>
      <c r="E330" s="1772">
        <v>0.15</v>
      </c>
      <c r="F330" s="1780"/>
    </row>
    <row r="331" spans="1:6" ht="14.25" thickBot="1">
      <c r="A331" s="1767" t="s">
        <v>2202</v>
      </c>
      <c r="B331" s="1771" t="s">
        <v>2212</v>
      </c>
      <c r="C331" s="1772">
        <v>0.15</v>
      </c>
      <c r="D331" s="1772">
        <v>0.15</v>
      </c>
      <c r="E331" s="1772">
        <v>0.15</v>
      </c>
      <c r="F331" s="1773">
        <v>0.15</v>
      </c>
    </row>
    <row r="332" spans="1:6" ht="14.25" thickBot="1">
      <c r="A332" s="1767" t="s">
        <v>2202</v>
      </c>
      <c r="B332" s="1771" t="s">
        <v>1225</v>
      </c>
      <c r="C332" s="1772">
        <v>0.15</v>
      </c>
      <c r="D332" s="1772">
        <v>0.15</v>
      </c>
      <c r="E332" s="1772">
        <v>0.15</v>
      </c>
      <c r="F332" s="1773">
        <v>0.15</v>
      </c>
    </row>
    <row r="333" spans="1:6" ht="14.25" thickBot="1">
      <c r="A333" s="1767" t="s">
        <v>2202</v>
      </c>
      <c r="B333" s="1771" t="s">
        <v>2213</v>
      </c>
      <c r="C333" s="1772">
        <v>0.15</v>
      </c>
      <c r="D333" s="1772">
        <v>0.15</v>
      </c>
      <c r="E333" s="1772">
        <v>0.15</v>
      </c>
      <c r="F333" s="1773">
        <v>0.14099999999999999</v>
      </c>
    </row>
    <row r="334" spans="1:6" ht="14.25" thickBot="1">
      <c r="A334" s="1767" t="s">
        <v>2202</v>
      </c>
      <c r="B334" s="1771" t="s">
        <v>1245</v>
      </c>
      <c r="C334" s="1772">
        <v>0.15</v>
      </c>
      <c r="D334" s="1772">
        <v>0.15</v>
      </c>
      <c r="E334" s="1772">
        <v>0.15</v>
      </c>
      <c r="F334" s="1773">
        <v>0.15</v>
      </c>
    </row>
    <row r="335" spans="1:6" ht="14.25" thickBot="1">
      <c r="A335" s="1767" t="s">
        <v>2202</v>
      </c>
      <c r="B335" s="1771" t="s">
        <v>1255</v>
      </c>
      <c r="C335" s="1772">
        <v>0.15</v>
      </c>
      <c r="D335" s="1772">
        <v>0.15</v>
      </c>
      <c r="E335" s="1772">
        <v>0.15</v>
      </c>
      <c r="F335" s="1780"/>
    </row>
    <row r="336" spans="1:6" ht="14.25" thickBot="1">
      <c r="A336" s="1767" t="s">
        <v>2202</v>
      </c>
      <c r="B336" s="1771" t="s">
        <v>2214</v>
      </c>
      <c r="C336" s="1772">
        <v>0.15</v>
      </c>
      <c r="D336" s="1772">
        <v>0.15</v>
      </c>
      <c r="E336" s="1772">
        <v>0.15</v>
      </c>
      <c r="F336" s="1773">
        <v>0.11799999999999999</v>
      </c>
    </row>
    <row r="337" spans="1:6" ht="14.25" thickBot="1">
      <c r="A337" s="1775" t="s">
        <v>2202</v>
      </c>
      <c r="B337" s="1782" t="s">
        <v>1273</v>
      </c>
      <c r="C337" s="1778"/>
      <c r="D337" s="1778"/>
      <c r="E337" s="1778"/>
      <c r="F337" s="1783">
        <v>0.14299999999999999</v>
      </c>
    </row>
    <row r="338" spans="1:6" ht="14.25" thickBot="1">
      <c r="A338" s="1767" t="s">
        <v>2215</v>
      </c>
      <c r="B338" s="1768" t="s">
        <v>2216</v>
      </c>
      <c r="C338" s="1769">
        <v>0.15</v>
      </c>
      <c r="D338" s="1769">
        <v>0.15</v>
      </c>
      <c r="E338" s="1769">
        <v>0.15</v>
      </c>
      <c r="F338" s="1791"/>
    </row>
    <row r="339" spans="1:6" ht="14.25" thickBot="1">
      <c r="A339" s="1767" t="s">
        <v>2215</v>
      </c>
      <c r="B339" s="1771" t="s">
        <v>2217</v>
      </c>
      <c r="C339" s="1772">
        <v>0.15</v>
      </c>
      <c r="D339" s="1772">
        <v>0.15</v>
      </c>
      <c r="E339" s="1772">
        <v>0.15</v>
      </c>
      <c r="F339" s="1780"/>
    </row>
    <row r="340" spans="1:6" ht="14.25" thickBot="1">
      <c r="A340" s="1767" t="s">
        <v>2215</v>
      </c>
      <c r="B340" s="1771" t="s">
        <v>2218</v>
      </c>
      <c r="C340" s="1772">
        <v>0.15</v>
      </c>
      <c r="D340" s="1772">
        <v>0.15</v>
      </c>
      <c r="E340" s="1772">
        <v>0.15</v>
      </c>
      <c r="F340" s="1780"/>
    </row>
    <row r="341" spans="1:6" ht="14.25" thickBot="1">
      <c r="A341" s="1767" t="s">
        <v>2219</v>
      </c>
      <c r="B341" s="1771" t="s">
        <v>2220</v>
      </c>
      <c r="C341" s="1772">
        <v>0.15</v>
      </c>
      <c r="D341" s="1772">
        <v>0.15</v>
      </c>
      <c r="E341" s="1772">
        <v>0.15</v>
      </c>
      <c r="F341" s="1773">
        <v>0.15</v>
      </c>
    </row>
    <row r="342" spans="1:6" ht="14.25" thickBot="1">
      <c r="A342" s="1767" t="s">
        <v>2215</v>
      </c>
      <c r="B342" s="1771" t="s">
        <v>2221</v>
      </c>
      <c r="C342" s="1772">
        <v>0.15</v>
      </c>
      <c r="D342" s="1772">
        <v>0.15</v>
      </c>
      <c r="E342" s="1772">
        <v>0.15</v>
      </c>
      <c r="F342" s="1773">
        <v>0.15</v>
      </c>
    </row>
    <row r="343" spans="1:6" ht="14.25" thickBot="1">
      <c r="A343" s="1767" t="s">
        <v>2215</v>
      </c>
      <c r="B343" s="1771" t="s">
        <v>2222</v>
      </c>
      <c r="C343" s="1772">
        <v>0.15</v>
      </c>
      <c r="D343" s="1772">
        <v>0.15</v>
      </c>
      <c r="E343" s="1772">
        <v>0.15</v>
      </c>
      <c r="F343" s="1773">
        <v>0.15</v>
      </c>
    </row>
    <row r="344" spans="1:6" ht="14.25" thickBot="1">
      <c r="A344" s="1775" t="s">
        <v>2215</v>
      </c>
      <c r="B344" s="1782" t="s">
        <v>2223</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tabColor rgb="FF92D050"/>
  </sheetPr>
  <dimension ref="A1:AR118"/>
  <sheetViews>
    <sheetView view="pageBreakPreview" topLeftCell="A50" zoomScale="80" zoomScaleNormal="60" zoomScaleSheetLayoutView="80" workbookViewId="0">
      <selection activeCell="C55" sqref="C55"/>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0</v>
      </c>
      <c r="C2" s="1354" t="s">
        <v>910</v>
      </c>
      <c r="D2" s="1355" t="s">
        <v>911</v>
      </c>
      <c r="E2" s="1356" t="s">
        <v>3028</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27480</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3173</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19725</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15913</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9244</v>
      </c>
      <c r="D5" s="2791">
        <f>ROUND(C6+C16,0)</f>
        <v>9244</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12768</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SUMIF(L1:L12,基准地价商业!G2,M1:M12)</f>
        <v>9300</v>
      </c>
      <c r="D6" s="1370" t="s">
        <v>1683</v>
      </c>
      <c r="E6" s="1371"/>
      <c r="F6" s="1371"/>
      <c r="G6" s="1372"/>
      <c r="H6" s="1372"/>
      <c r="I6" s="1372"/>
      <c r="J6" s="1373"/>
      <c r="K6" s="3231"/>
      <c r="L6" s="1797" t="s">
        <v>2229</v>
      </c>
      <c r="M6" s="1798">
        <f>SUMPRODUCT((区片价!B110:B157=I2)*(区片价!C3:F3=E2)*(区片价!C110:F157))</f>
        <v>9300</v>
      </c>
      <c r="N6" s="1799">
        <f>SUMPRODUCT((因素修正幅度!B110:B157=I2)*(因素修正幅度!C3:F3=E2)*(因素修正幅度!C110:F157))</f>
        <v>0.123</v>
      </c>
      <c r="O6" s="3231"/>
      <c r="P6" s="3234"/>
      <c r="Q6" s="2068"/>
      <c r="R6" s="2652">
        <v>5</v>
      </c>
      <c r="S6" s="2652">
        <f>ROUND(IF(G3&gt;1,IF(R6&lt;7,SUMPRODUCT((B93:B98=R6)*(C92:N92=G2)*(C93:N98)),SUMIF(C92:N92,G2,C100:N100)),IF(R6&lt;7,SUMPRODUCT((B102:B107=R6)*(C92:N92=G2)*(C102:N107)),SUMIF(C92:N92,G2,C109:N109))),4)</f>
        <v>0.73709999999999998</v>
      </c>
      <c r="T6" s="2652">
        <f t="shared" ca="1" si="0"/>
        <v>10873</v>
      </c>
      <c r="U6" s="2641"/>
      <c r="V6" s="2652">
        <f t="shared" ca="1" si="1"/>
        <v>0</v>
      </c>
      <c r="W6" s="2068"/>
      <c r="X6" s="2068"/>
      <c r="Y6" s="2068"/>
      <c r="Z6" s="2068"/>
      <c r="AA6" s="2068"/>
      <c r="AB6" s="2068"/>
      <c r="AC6" s="2070"/>
      <c r="AD6" s="1366"/>
      <c r="AE6" s="1366"/>
      <c r="AF6" s="1366"/>
      <c r="AG6" s="1366"/>
      <c r="AH6" s="1366"/>
      <c r="AI6" s="1366"/>
      <c r="AJ6" s="1367"/>
    </row>
    <row r="7" spans="1:39" ht="24">
      <c r="A7" s="3642" t="str">
        <f>IF(E2="商业",IF(C8="不临58条商业街","",2),"")</f>
        <v/>
      </c>
      <c r="B7" s="1374" t="s">
        <v>921</v>
      </c>
      <c r="C7" s="1028">
        <f>IF(C8="不临58条商业街",1,ROUND(1+(1.6*E8+1.2*E9+0.8*E10+0.4*E11)*C9,4))</f>
        <v>1</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9562</v>
      </c>
      <c r="U7" s="2641"/>
      <c r="V7" s="2652">
        <f t="shared" ca="1" si="1"/>
        <v>0</v>
      </c>
      <c r="W7" s="3280" t="s">
        <v>2742</v>
      </c>
      <c r="X7" s="2642" t="str">
        <f>G2</f>
        <v>六级</v>
      </c>
      <c r="Y7" s="2642" t="s">
        <v>2743</v>
      </c>
      <c r="Z7" s="2643">
        <f>G3</f>
        <v>2.8</v>
      </c>
      <c r="AA7" s="2071"/>
      <c r="AB7" s="2071"/>
      <c r="AC7" s="2072"/>
      <c r="AD7" s="2644"/>
      <c r="AE7" s="2644"/>
      <c r="AF7" s="2644"/>
      <c r="AG7" s="2644"/>
      <c r="AH7" s="2644"/>
      <c r="AI7" s="2644"/>
      <c r="AJ7" s="2645"/>
    </row>
    <row r="8" spans="1:39" ht="25.5">
      <c r="A8" s="3643"/>
      <c r="B8" s="1361" t="s">
        <v>923</v>
      </c>
      <c r="C8" s="1467" t="s">
        <v>3065</v>
      </c>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29" t="s">
        <v>2760</v>
      </c>
      <c r="X8" s="3630"/>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43"/>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28"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43"/>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28"/>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43"/>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28"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42"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28"/>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44"/>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28"/>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44"/>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45"/>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42" t="s">
        <v>1826</v>
      </c>
      <c r="B16" s="1374" t="s">
        <v>939</v>
      </c>
      <c r="C16" s="3379">
        <f>ROUND(IF(F17="与级别开发程度一致",0,(G17-E17)/C17),0)</f>
        <v>-56</v>
      </c>
      <c r="D16" s="3636" t="s">
        <v>943</v>
      </c>
      <c r="E16" s="3637"/>
      <c r="F16" s="3636" t="s">
        <v>940</v>
      </c>
      <c r="G16" s="3637"/>
      <c r="H16" s="1406" t="s">
        <v>3155</v>
      </c>
      <c r="I16" s="1406" t="s">
        <v>3156</v>
      </c>
      <c r="J16" s="1406" t="s">
        <v>3157</v>
      </c>
      <c r="K16" s="1406" t="s">
        <v>941</v>
      </c>
      <c r="L16" s="1406" t="s">
        <v>941</v>
      </c>
      <c r="M16" s="1406" t="s">
        <v>941</v>
      </c>
      <c r="N16" s="1406" t="s">
        <v>3158</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46"/>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3154</v>
      </c>
      <c r="G17" s="2844">
        <f>SUM(H17:O17)</f>
        <v>160</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0</v>
      </c>
      <c r="L17" s="1036">
        <f>SUMPRODUCT((七通一平=L16)*(修正!B1:M1=G2)*(修正!B6:M14))</f>
        <v>0</v>
      </c>
      <c r="M17" s="1036">
        <f>SUMPRODUCT((七通一平=M16)*(修正!B1:M1=G2)*(修正!B6:M14))</f>
        <v>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1.1000000000000001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43">
        <v>1.3906000000000001</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258</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5.3999999999999999E-2</v>
      </c>
      <c r="H20" s="2498" t="s">
        <v>963</v>
      </c>
      <c r="I20" s="2494">
        <f>SUMIF('数据-取费表'!C6:C15,E2,'数据-取费表'!F6:F15)/COUNTIF('数据-取费表'!C6:C15,E2)</f>
        <v>40</v>
      </c>
      <c r="J20" s="2500">
        <f>IF(E2="住宅",70,IF(E2="商业",40,50))</f>
        <v>40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0.96160000000000001</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0.96160000000000001</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1.0431999999999999</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0</v>
      </c>
      <c r="D26" s="1428"/>
      <c r="E26" s="1403"/>
      <c r="F26" s="1429"/>
      <c r="G26" s="1403"/>
      <c r="H26" s="1403"/>
      <c r="I26" s="1403"/>
      <c r="J26" s="1430"/>
      <c r="K26" s="3231"/>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14185</v>
      </c>
      <c r="D29" s="1442"/>
      <c r="E29" s="1761">
        <f ca="1">ROUND(C29*D29/10000,0)</f>
        <v>0</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3546</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38"/>
      <c r="B33" s="1462" t="s">
        <v>988</v>
      </c>
      <c r="C33" s="1044">
        <f ca="1">ROUND(D5*C19*C20*C24*F33,0)</f>
        <v>9387</v>
      </c>
      <c r="D33" s="1475"/>
      <c r="E33" s="1033">
        <f ca="1">ROUND(C33*D33/10000,0)</f>
        <v>0</v>
      </c>
      <c r="F33" s="1033">
        <f>SUMIF(修正!A45:A56,G2,修正!B45:B56)</f>
        <v>0.7</v>
      </c>
      <c r="G33" s="1033">
        <f t="shared" ref="G33" ca="1" si="6">ROUND(IF(E2="工业",C33*$M$39,C33*$M$38),0)</f>
        <v>2347</v>
      </c>
      <c r="H33" s="1033">
        <f>D33</f>
        <v>0</v>
      </c>
      <c r="I33" s="1033">
        <f ca="1">ROUND(G33*H33/10000,0)</f>
        <v>0</v>
      </c>
      <c r="J33" s="3638"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39"/>
      <c r="B34" s="1392" t="s">
        <v>989</v>
      </c>
      <c r="C34" s="1044">
        <f ca="1">ROUND(D5*C19*C20*C24*F34,0)</f>
        <v>5364</v>
      </c>
      <c r="D34" s="1475"/>
      <c r="E34" s="1033">
        <f t="shared" ref="E34:E39" ca="1" si="7">ROUND(C34*D34/10000,0)</f>
        <v>0</v>
      </c>
      <c r="F34" s="1033">
        <f>SUMIF(修正!A45:A56,G2,修正!C45:C56)</f>
        <v>0.4</v>
      </c>
      <c r="G34" s="1033">
        <f ca="1">ROUND(IF(E2="工业",C34*$M$39,C34*$M$38),0)</f>
        <v>1341</v>
      </c>
      <c r="H34" s="1033">
        <f t="shared" ref="H34:H39" si="8">D34</f>
        <v>0</v>
      </c>
      <c r="I34" s="1033">
        <f t="shared" ref="I34:I39" ca="1" si="9">ROUND(G34*H34/10000,0)</f>
        <v>0</v>
      </c>
      <c r="J34" s="3639"/>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39"/>
      <c r="B35" s="1392" t="s">
        <v>990</v>
      </c>
      <c r="C35" s="1044">
        <f ca="1">ROUND(D5*C19*C20*C24*F35,0)</f>
        <v>3755</v>
      </c>
      <c r="D35" s="1475"/>
      <c r="E35" s="1033">
        <f t="shared" ca="1" si="7"/>
        <v>0</v>
      </c>
      <c r="F35" s="1033">
        <f>SUMIF(修正!A45:A56,G2,修正!D45:D56)</f>
        <v>0.28000000000000003</v>
      </c>
      <c r="G35" s="1033">
        <f ca="1">ROUND(IF(E2="工业",C35*$M$39,C35*$M$38),0)</f>
        <v>939</v>
      </c>
      <c r="H35" s="1033">
        <f t="shared" si="8"/>
        <v>0</v>
      </c>
      <c r="I35" s="1033">
        <f t="shared" ca="1" si="9"/>
        <v>0</v>
      </c>
      <c r="J35" s="3639"/>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40"/>
      <c r="B36" s="1392" t="s">
        <v>991</v>
      </c>
      <c r="C36" s="1044">
        <f ca="1">ROUND(D5*C19*C20*C24*F36,0)</f>
        <v>3353</v>
      </c>
      <c r="D36" s="1475"/>
      <c r="E36" s="1033">
        <f t="shared" ca="1" si="7"/>
        <v>0</v>
      </c>
      <c r="F36" s="1033">
        <f>SUMIF(修正!A45:A56,G2,修正!E45:E56)</f>
        <v>0.25</v>
      </c>
      <c r="G36" s="1033">
        <f ca="1">ROUND(IF(E2="工业",C36*$M$39,C36*$M$38),0)</f>
        <v>838</v>
      </c>
      <c r="H36" s="1033">
        <f t="shared" si="8"/>
        <v>0</v>
      </c>
      <c r="I36" s="1033">
        <f t="shared" ca="1" si="9"/>
        <v>0</v>
      </c>
      <c r="J36" s="3640"/>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3353</v>
      </c>
      <c r="D37" s="1475"/>
      <c r="E37" s="1033">
        <f t="shared" ca="1" si="7"/>
        <v>0</v>
      </c>
      <c r="F37" s="1044">
        <f>SUMIF(修正!A45:A56,G2,修正!F45:F56)</f>
        <v>0.25</v>
      </c>
      <c r="G37" s="1033">
        <f ca="1">ROUND(IF(E2="工业",C37*$M$39,C37*$M$38),0)</f>
        <v>838</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5.3999999999999999E-2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996</v>
      </c>
      <c r="B45" s="2278">
        <f>1+E47</f>
        <v>1.0431999999999999</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c r="A47" s="1048" t="s">
        <v>1009</v>
      </c>
      <c r="B47" s="2264" t="str">
        <f>估价对象房地状况!C16</f>
        <v>周边有万达广场（通州店）、华联商厦（新华大街店）、京客隆超市（东关店）、华联超市（新华大街店）等商业服务设施，分布较为集中，综合考虑商业繁华度较好</v>
      </c>
      <c r="C47" s="1035" t="s">
        <v>3074</v>
      </c>
      <c r="D47" s="2270">
        <f t="shared" ref="D47:D55" si="10">SUMIF($J$46:$N$46,C47,J47:N47)</f>
        <v>0</v>
      </c>
      <c r="E47" s="2289">
        <f>ROUND(SUM(D47:D55),4)</f>
        <v>4.3200000000000002E-2</v>
      </c>
      <c r="F47" s="2290">
        <f>IF(E2="商业",SUMIF(L1:L12,G2,N1:N12),"——")</f>
        <v>0.123</v>
      </c>
      <c r="G47" s="2268">
        <f>H47</f>
        <v>2.0199999999999999E-2</v>
      </c>
      <c r="H47" s="2313">
        <f t="shared" ref="H47:H55" si="11">IFERROR(ROUNDDOWN(($F$47*I47/2),4),"——")</f>
        <v>2.0199999999999999E-2</v>
      </c>
      <c r="I47" s="2288">
        <v>0.33</v>
      </c>
      <c r="J47" s="2291">
        <f t="shared" ref="J47:J55" si="12">K47+$G47</f>
        <v>4.0399999999999998E-2</v>
      </c>
      <c r="K47" s="2291">
        <f t="shared" ref="K47:K55" si="13">$L47+$G47</f>
        <v>2.0199999999999999E-2</v>
      </c>
      <c r="L47" s="2291">
        <v>0</v>
      </c>
      <c r="M47" s="2291">
        <f t="shared" ref="M47:N55" si="14">L47-$G47</f>
        <v>-2.0199999999999999E-2</v>
      </c>
      <c r="N47" s="2291">
        <f t="shared" si="14"/>
        <v>-4.0399999999999998E-2</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c r="A48" s="1048" t="s">
        <v>1010</v>
      </c>
      <c r="B48" s="2261" t="str">
        <f>估价对象房地状况!C18</f>
        <v>周边有通322路、342路、589路、667路、804路、808路、通19路、通41路、通62路等多条公交线路通过，距地铁6号线（北运河西站）约1公里，综合评价交通便捷度较好</v>
      </c>
      <c r="C48" s="3378" t="s">
        <v>3075</v>
      </c>
      <c r="D48" s="2270">
        <f t="shared" si="10"/>
        <v>1.5299999999999999E-2</v>
      </c>
      <c r="E48" s="2292"/>
      <c r="F48" s="2290"/>
      <c r="G48" s="2268">
        <f t="shared" ref="G48:G55" si="15">H48</f>
        <v>1.5299999999999999E-2</v>
      </c>
      <c r="H48" s="2313">
        <f t="shared" si="11"/>
        <v>1.5299999999999999E-2</v>
      </c>
      <c r="I48" s="2288">
        <v>0.25</v>
      </c>
      <c r="J48" s="2291">
        <f t="shared" si="12"/>
        <v>3.0599999999999999E-2</v>
      </c>
      <c r="K48" s="2291">
        <f t="shared" si="13"/>
        <v>1.5299999999999999E-2</v>
      </c>
      <c r="L48" s="2291">
        <v>0</v>
      </c>
      <c r="M48" s="2291">
        <f t="shared" si="14"/>
        <v>-1.5299999999999999E-2</v>
      </c>
      <c r="N48" s="2291">
        <f t="shared" si="14"/>
        <v>-3.0599999999999999E-2</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1011</v>
      </c>
      <c r="B49" s="2261">
        <f>估价对象房地状况!C19</f>
        <v>0</v>
      </c>
      <c r="C49" s="3378" t="s">
        <v>3074</v>
      </c>
      <c r="D49" s="2270">
        <f t="shared" si="10"/>
        <v>0</v>
      </c>
      <c r="E49" s="2292"/>
      <c r="F49" s="2290"/>
      <c r="G49" s="2268">
        <f t="shared" si="15"/>
        <v>3.0000000000000001E-3</v>
      </c>
      <c r="H49" s="2313">
        <f t="shared" si="11"/>
        <v>3.0000000000000001E-3</v>
      </c>
      <c r="I49" s="2288">
        <v>0.05</v>
      </c>
      <c r="J49" s="2291">
        <f t="shared" si="12"/>
        <v>6.0000000000000001E-3</v>
      </c>
      <c r="K49" s="2291">
        <f t="shared" si="13"/>
        <v>3.0000000000000001E-3</v>
      </c>
      <c r="L49" s="2291">
        <v>0</v>
      </c>
      <c r="M49" s="2291">
        <f t="shared" si="14"/>
        <v>-3.0000000000000001E-3</v>
      </c>
      <c r="N49" s="2291">
        <f t="shared" si="14"/>
        <v>-6.0000000000000001E-3</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1012</v>
      </c>
      <c r="B50" s="2783" t="s">
        <v>2900</v>
      </c>
      <c r="C50" s="1035" t="s">
        <v>3075</v>
      </c>
      <c r="D50" s="2270">
        <f t="shared" si="10"/>
        <v>3.0000000000000001E-3</v>
      </c>
      <c r="E50" s="2292"/>
      <c r="F50" s="2290"/>
      <c r="G50" s="2268">
        <f t="shared" si="15"/>
        <v>3.0000000000000001E-3</v>
      </c>
      <c r="H50" s="2313">
        <f t="shared" si="11"/>
        <v>3.0000000000000001E-3</v>
      </c>
      <c r="I50" s="2288">
        <v>0.05</v>
      </c>
      <c r="J50" s="2291">
        <f t="shared" si="12"/>
        <v>6.0000000000000001E-3</v>
      </c>
      <c r="K50" s="2291">
        <f t="shared" si="13"/>
        <v>3.0000000000000001E-3</v>
      </c>
      <c r="L50" s="2291">
        <v>0</v>
      </c>
      <c r="M50" s="2291">
        <f t="shared" si="14"/>
        <v>-3.0000000000000001E-3</v>
      </c>
      <c r="N50" s="2291">
        <f t="shared" si="14"/>
        <v>-6.0000000000000001E-3</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1013</v>
      </c>
      <c r="B51" s="2261" t="str">
        <f>估价对象房地状况!C24</f>
        <v>城市主干道——新华东街</v>
      </c>
      <c r="C51" s="1035" t="s">
        <v>3081</v>
      </c>
      <c r="D51" s="2270">
        <f t="shared" si="10"/>
        <v>9.7999999999999997E-3</v>
      </c>
      <c r="E51" s="2292"/>
      <c r="F51" s="2290"/>
      <c r="G51" s="2268">
        <f t="shared" si="15"/>
        <v>4.8999999999999998E-3</v>
      </c>
      <c r="H51" s="2313">
        <f t="shared" si="11"/>
        <v>4.8999999999999998E-3</v>
      </c>
      <c r="I51" s="2288">
        <v>0.08</v>
      </c>
      <c r="J51" s="2291">
        <f t="shared" si="12"/>
        <v>9.7999999999999997E-3</v>
      </c>
      <c r="K51" s="2291">
        <f t="shared" si="13"/>
        <v>4.8999999999999998E-3</v>
      </c>
      <c r="L51" s="2291">
        <v>0</v>
      </c>
      <c r="M51" s="2291">
        <f t="shared" si="14"/>
        <v>-4.8999999999999998E-3</v>
      </c>
      <c r="N51" s="2291">
        <f t="shared" si="14"/>
        <v>-9.7999999999999997E-3</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1014</v>
      </c>
      <c r="B52" s="2782" t="s">
        <v>2899</v>
      </c>
      <c r="C52" s="1035" t="s">
        <v>3075</v>
      </c>
      <c r="D52" s="2270">
        <f t="shared" si="10"/>
        <v>1.8E-3</v>
      </c>
      <c r="E52" s="2292"/>
      <c r="F52" s="2290"/>
      <c r="G52" s="2268">
        <f t="shared" si="15"/>
        <v>1.8E-3</v>
      </c>
      <c r="H52" s="2313">
        <f t="shared" si="11"/>
        <v>1.8E-3</v>
      </c>
      <c r="I52" s="2288">
        <v>0.03</v>
      </c>
      <c r="J52" s="2291">
        <f t="shared" si="12"/>
        <v>3.5999999999999999E-3</v>
      </c>
      <c r="K52" s="2291">
        <f t="shared" si="13"/>
        <v>1.8E-3</v>
      </c>
      <c r="L52" s="2291">
        <v>0</v>
      </c>
      <c r="M52" s="2291">
        <f t="shared" si="14"/>
        <v>-1.8E-3</v>
      </c>
      <c r="N52" s="2291">
        <f t="shared" si="14"/>
        <v>-3.5999999999999999E-3</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t="s">
        <v>3074</v>
      </c>
      <c r="D53" s="2270">
        <f t="shared" si="10"/>
        <v>0</v>
      </c>
      <c r="E53" s="2292"/>
      <c r="F53" s="2290"/>
      <c r="G53" s="2268">
        <f t="shared" si="15"/>
        <v>3.0000000000000001E-3</v>
      </c>
      <c r="H53" s="2313">
        <f t="shared" si="11"/>
        <v>3.0000000000000001E-3</v>
      </c>
      <c r="I53" s="2288">
        <v>0.05</v>
      </c>
      <c r="J53" s="2291">
        <f t="shared" si="12"/>
        <v>6.0000000000000001E-3</v>
      </c>
      <c r="K53" s="2291">
        <f t="shared" si="13"/>
        <v>3.0000000000000001E-3</v>
      </c>
      <c r="L53" s="2291">
        <v>0</v>
      </c>
      <c r="M53" s="2291">
        <f t="shared" si="14"/>
        <v>-3.0000000000000001E-3</v>
      </c>
      <c r="N53" s="2291">
        <f t="shared" si="14"/>
        <v>-6.0000000000000001E-3</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c r="A54" s="2293" t="s">
        <v>1016</v>
      </c>
      <c r="B54" s="2261" t="str">
        <f>估价对象房地状况!C22</f>
        <v>估价对象所在区域内基础设施配套条件达到“七通”（即通路、通上水、通下水、通电、通讯、通燃气、通热力），能够保证工作、生产需要，基础设施配套完善度好。</v>
      </c>
      <c r="C54" s="1035" t="s">
        <v>3075</v>
      </c>
      <c r="D54" s="2270">
        <f t="shared" si="10"/>
        <v>6.1000000000000004E-3</v>
      </c>
      <c r="E54" s="2292"/>
      <c r="F54" s="2290"/>
      <c r="G54" s="2268">
        <f t="shared" si="15"/>
        <v>6.1000000000000004E-3</v>
      </c>
      <c r="H54" s="2313">
        <f t="shared" si="11"/>
        <v>6.1000000000000004E-3</v>
      </c>
      <c r="I54" s="2288">
        <v>0.1</v>
      </c>
      <c r="J54" s="2291">
        <f t="shared" si="12"/>
        <v>1.2200000000000001E-2</v>
      </c>
      <c r="K54" s="2291">
        <f t="shared" si="13"/>
        <v>6.1000000000000004E-3</v>
      </c>
      <c r="L54" s="2291">
        <v>0</v>
      </c>
      <c r="M54" s="2291">
        <f t="shared" si="14"/>
        <v>-6.1000000000000004E-3</v>
      </c>
      <c r="N54" s="2291">
        <f t="shared" si="14"/>
        <v>-1.2200000000000001E-2</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t="s">
        <v>3081</v>
      </c>
      <c r="D55" s="2270">
        <f t="shared" si="10"/>
        <v>7.1999999999999998E-3</v>
      </c>
      <c r="E55" s="2296"/>
      <c r="F55" s="2290"/>
      <c r="G55" s="2268">
        <f t="shared" si="15"/>
        <v>3.5999999999999999E-3</v>
      </c>
      <c r="H55" s="2313">
        <f t="shared" si="11"/>
        <v>3.5999999999999999E-3</v>
      </c>
      <c r="I55" s="2295">
        <v>0.06</v>
      </c>
      <c r="J55" s="2291">
        <f t="shared" si="12"/>
        <v>7.1999999999999998E-3</v>
      </c>
      <c r="K55" s="2291">
        <f t="shared" si="13"/>
        <v>3.5999999999999999E-3</v>
      </c>
      <c r="L55" s="2291">
        <v>0</v>
      </c>
      <c r="M55" s="2291">
        <f t="shared" si="14"/>
        <v>-3.5999999999999999E-3</v>
      </c>
      <c r="N55" s="2291">
        <f t="shared" si="14"/>
        <v>-7.1999999999999998E-3</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c r="D58" s="2270">
        <f t="shared" ref="D58:D66" si="16">SUMIF($J$57:$N$57,C58,J58:N58)</f>
        <v>0</v>
      </c>
      <c r="E58" s="2289">
        <f>ROUND(SUM(D58:D66),4)</f>
        <v>0</v>
      </c>
      <c r="F58" s="2290" t="str">
        <f>IF(E2="办公",SUMIF(L1:L12,G2,N1:N12),"——")</f>
        <v>——</v>
      </c>
      <c r="G58" s="2268"/>
      <c r="H58" s="2313" t="str">
        <f>IFERROR(ROUNDDOWN($F$58*I58/2,4),"——")</f>
        <v>——</v>
      </c>
      <c r="I58" s="2288">
        <v>0.24</v>
      </c>
      <c r="J58" s="2291">
        <f t="shared" ref="J58:J66" si="17">K58+$G58</f>
        <v>0</v>
      </c>
      <c r="K58" s="2291">
        <f t="shared" ref="K58:K66" si="18">$L58+$G58</f>
        <v>0</v>
      </c>
      <c r="L58" s="2291">
        <v>0</v>
      </c>
      <c r="M58" s="2291">
        <f t="shared" ref="M58:N66" si="19">L58-$G58</f>
        <v>0</v>
      </c>
      <c r="N58" s="2291">
        <f t="shared" si="19"/>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6"/>
        <v>0</v>
      </c>
      <c r="E59" s="2292"/>
      <c r="F59" s="2290"/>
      <c r="G59" s="2268"/>
      <c r="H59" s="2269" t="str">
        <f t="shared" ref="H59:H66" si="20">IFERROR($F$58*I59/2,"——")</f>
        <v>——</v>
      </c>
      <c r="I59" s="2288">
        <v>0.3</v>
      </c>
      <c r="J59" s="2291">
        <f t="shared" si="17"/>
        <v>0</v>
      </c>
      <c r="K59" s="2291">
        <f t="shared" si="18"/>
        <v>0</v>
      </c>
      <c r="L59" s="2291">
        <v>0</v>
      </c>
      <c r="M59" s="2291">
        <f t="shared" si="19"/>
        <v>0</v>
      </c>
      <c r="N59" s="2291">
        <f t="shared" si="19"/>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c r="D60" s="2270">
        <f t="shared" si="16"/>
        <v>0</v>
      </c>
      <c r="E60" s="2292"/>
      <c r="F60" s="2290"/>
      <c r="G60" s="2268"/>
      <c r="H60" s="2269" t="str">
        <f t="shared" si="20"/>
        <v>——</v>
      </c>
      <c r="I60" s="2288">
        <v>0.08</v>
      </c>
      <c r="J60" s="2291">
        <f t="shared" si="17"/>
        <v>0</v>
      </c>
      <c r="K60" s="2291">
        <f t="shared" si="18"/>
        <v>0</v>
      </c>
      <c r="L60" s="2291">
        <v>0</v>
      </c>
      <c r="M60" s="2291">
        <f t="shared" si="19"/>
        <v>0</v>
      </c>
      <c r="N60" s="2291">
        <f t="shared" si="19"/>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c r="D61" s="2270">
        <f t="shared" si="16"/>
        <v>0</v>
      </c>
      <c r="E61" s="2292"/>
      <c r="F61" s="2290"/>
      <c r="G61" s="2268"/>
      <c r="H61" s="2269" t="str">
        <f t="shared" si="20"/>
        <v>——</v>
      </c>
      <c r="I61" s="2288">
        <v>0.04</v>
      </c>
      <c r="J61" s="2291">
        <f t="shared" si="17"/>
        <v>0</v>
      </c>
      <c r="K61" s="2291">
        <f t="shared" si="18"/>
        <v>0</v>
      </c>
      <c r="L61" s="2291">
        <v>0</v>
      </c>
      <c r="M61" s="2291">
        <f t="shared" si="19"/>
        <v>0</v>
      </c>
      <c r="N61" s="2291">
        <f t="shared" si="19"/>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c r="D62" s="2270">
        <f t="shared" si="16"/>
        <v>0</v>
      </c>
      <c r="E62" s="2292"/>
      <c r="F62" s="2290"/>
      <c r="G62" s="2268"/>
      <c r="H62" s="2269" t="str">
        <f t="shared" si="20"/>
        <v>——</v>
      </c>
      <c r="I62" s="2288">
        <v>0.05</v>
      </c>
      <c r="J62" s="2291">
        <f t="shared" si="17"/>
        <v>0</v>
      </c>
      <c r="K62" s="2291">
        <f t="shared" si="18"/>
        <v>0</v>
      </c>
      <c r="L62" s="2291">
        <v>0</v>
      </c>
      <c r="M62" s="2291">
        <f t="shared" si="19"/>
        <v>0</v>
      </c>
      <c r="N62" s="2291">
        <f t="shared" si="19"/>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c r="D63" s="2270">
        <f t="shared" si="16"/>
        <v>0</v>
      </c>
      <c r="E63" s="2292"/>
      <c r="F63" s="2290"/>
      <c r="G63" s="2268"/>
      <c r="H63" s="2269" t="str">
        <f t="shared" si="20"/>
        <v>——</v>
      </c>
      <c r="I63" s="2288">
        <v>0.05</v>
      </c>
      <c r="J63" s="2291">
        <f t="shared" si="17"/>
        <v>0</v>
      </c>
      <c r="K63" s="2291">
        <f t="shared" si="18"/>
        <v>0</v>
      </c>
      <c r="L63" s="2291">
        <v>0</v>
      </c>
      <c r="M63" s="2291">
        <f t="shared" si="19"/>
        <v>0</v>
      </c>
      <c r="N63" s="2291">
        <f t="shared" si="19"/>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6"/>
        <v>0</v>
      </c>
      <c r="E64" s="2292"/>
      <c r="F64" s="2290"/>
      <c r="G64" s="2268"/>
      <c r="H64" s="2269" t="str">
        <f t="shared" si="20"/>
        <v>——</v>
      </c>
      <c r="I64" s="2288">
        <v>0.06</v>
      </c>
      <c r="J64" s="2291">
        <f t="shared" si="17"/>
        <v>0</v>
      </c>
      <c r="K64" s="2291">
        <f t="shared" si="18"/>
        <v>0</v>
      </c>
      <c r="L64" s="2291">
        <v>0</v>
      </c>
      <c r="M64" s="2291">
        <f t="shared" si="19"/>
        <v>0</v>
      </c>
      <c r="N64" s="2291">
        <f t="shared" si="19"/>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6"/>
        <v>0</v>
      </c>
      <c r="E65" s="2292"/>
      <c r="F65" s="2290"/>
      <c r="G65" s="2268"/>
      <c r="H65" s="2269" t="str">
        <f t="shared" si="20"/>
        <v>——</v>
      </c>
      <c r="I65" s="2288">
        <v>0.12</v>
      </c>
      <c r="J65" s="2291">
        <f t="shared" si="17"/>
        <v>0</v>
      </c>
      <c r="K65" s="2291">
        <f t="shared" si="18"/>
        <v>0</v>
      </c>
      <c r="L65" s="2291">
        <v>0</v>
      </c>
      <c r="M65" s="2291">
        <f t="shared" si="19"/>
        <v>0</v>
      </c>
      <c r="N65" s="2291">
        <f t="shared" si="19"/>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6"/>
        <v>0</v>
      </c>
      <c r="E66" s="2296"/>
      <c r="F66" s="2290"/>
      <c r="G66" s="2268"/>
      <c r="H66" s="2269" t="str">
        <f t="shared" si="20"/>
        <v>——</v>
      </c>
      <c r="I66" s="2295">
        <v>0.06</v>
      </c>
      <c r="J66" s="2291">
        <f t="shared" si="17"/>
        <v>0</v>
      </c>
      <c r="K66" s="2291">
        <f t="shared" si="18"/>
        <v>0</v>
      </c>
      <c r="L66" s="2291">
        <v>0</v>
      </c>
      <c r="M66" s="2291">
        <f t="shared" si="19"/>
        <v>0</v>
      </c>
      <c r="N66" s="2291">
        <f t="shared" si="19"/>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47" t="s">
        <v>1622</v>
      </c>
      <c r="B90" s="3647"/>
      <c r="C90" s="3647"/>
      <c r="D90" s="3647"/>
      <c r="E90" s="3647"/>
      <c r="F90" s="3647"/>
      <c r="G90" s="3647"/>
      <c r="H90" s="3647"/>
      <c r="I90" s="3647"/>
      <c r="J90" s="3647"/>
      <c r="K90" s="3278"/>
      <c r="L90" s="3278"/>
      <c r="M90" s="3278"/>
      <c r="N90" s="3278"/>
    </row>
    <row r="91" spans="1:40">
      <c r="A91" s="3648" t="s">
        <v>1432</v>
      </c>
      <c r="B91" s="3648" t="s">
        <v>1623</v>
      </c>
      <c r="C91" s="1121" t="s">
        <v>1624</v>
      </c>
      <c r="D91" s="1122"/>
      <c r="E91" s="1122"/>
      <c r="F91" s="1122"/>
      <c r="G91" s="1122"/>
      <c r="H91" s="1122"/>
      <c r="I91" s="1122"/>
      <c r="J91" s="1123"/>
      <c r="K91" s="1115"/>
      <c r="L91" s="1115"/>
      <c r="M91" s="1115"/>
      <c r="N91" s="1115"/>
    </row>
    <row r="92" spans="1:40">
      <c r="A92" s="3648"/>
      <c r="B92" s="3648"/>
      <c r="C92" s="3279" t="s">
        <v>873</v>
      </c>
      <c r="D92" s="3279" t="s">
        <v>874</v>
      </c>
      <c r="E92" s="3279" t="s">
        <v>875</v>
      </c>
      <c r="F92" s="3279" t="s">
        <v>876</v>
      </c>
      <c r="G92" s="3279" t="s">
        <v>877</v>
      </c>
      <c r="H92" s="3279" t="s">
        <v>878</v>
      </c>
      <c r="I92" s="3279" t="s">
        <v>879</v>
      </c>
      <c r="J92" s="3279" t="s">
        <v>880</v>
      </c>
      <c r="K92" s="3279" t="s">
        <v>904</v>
      </c>
      <c r="L92" s="3279" t="s">
        <v>882</v>
      </c>
      <c r="M92" s="3279" t="s">
        <v>883</v>
      </c>
      <c r="N92" s="3279" t="s">
        <v>907</v>
      </c>
    </row>
    <row r="93" spans="1:40">
      <c r="A93" s="3631"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32"/>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32"/>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32"/>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32"/>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32"/>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32"/>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33"/>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31"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32"/>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32"/>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32"/>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32"/>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32"/>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32"/>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32"/>
      <c r="B108" s="3634"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33"/>
      <c r="B109" s="3635"/>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41" t="s">
        <v>1628</v>
      </c>
      <c r="B110" s="3641"/>
      <c r="C110" s="3641"/>
      <c r="D110" s="3641"/>
      <c r="E110" s="3641"/>
      <c r="F110" s="3641"/>
      <c r="G110" s="3641"/>
      <c r="H110" s="3641"/>
      <c r="I110" s="3641"/>
      <c r="J110" s="3641"/>
      <c r="K110" s="3277"/>
      <c r="L110" s="3277"/>
      <c r="M110" s="3277"/>
      <c r="N110" s="3277"/>
    </row>
    <row r="112" spans="1:14" ht="12.75" thickBot="1"/>
    <row r="113" spans="1:13" ht="25.5" thickBot="1">
      <c r="A113" s="1001" t="s">
        <v>885</v>
      </c>
      <c r="B113" s="2304">
        <f>G3</f>
        <v>2.8</v>
      </c>
      <c r="C113" s="1002" t="s">
        <v>886</v>
      </c>
      <c r="D113" s="1003">
        <f>SUMPRODUCT((A115:A118=F113)*(B114:M114=H113)*B115:M118)</f>
        <v>0.80259999999999998</v>
      </c>
      <c r="E113" s="1004" t="s">
        <v>887</v>
      </c>
      <c r="F113" s="1005" t="str">
        <f>E2</f>
        <v>商业</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43" priority="5" stopIfTrue="1" operator="notEqual">
      <formula>"——"</formula>
    </cfRule>
  </conditionalFormatting>
  <conditionalFormatting sqref="F58">
    <cfRule type="cellIs" dxfId="142" priority="4" stopIfTrue="1" operator="notEqual">
      <formula>"——"</formula>
    </cfRule>
  </conditionalFormatting>
  <conditionalFormatting sqref="F69">
    <cfRule type="cellIs" dxfId="141" priority="3" stopIfTrue="1" operator="notEqual">
      <formula>"——"</formula>
    </cfRule>
  </conditionalFormatting>
  <conditionalFormatting sqref="F80">
    <cfRule type="cellIs" dxfId="140" priority="2" stopIfTrue="1" operator="notEqual">
      <formula>"——"</formula>
    </cfRule>
  </conditionalFormatting>
  <conditionalFormatting sqref="H58:H66 H47:H55 H69:H77 H80:H87">
    <cfRule type="cellIs" dxfId="13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AR118"/>
  <sheetViews>
    <sheetView view="pageBreakPreview" topLeftCell="A61" zoomScale="80" zoomScaleNormal="60" zoomScaleSheetLayoutView="80" workbookViewId="0">
      <selection activeCell="C65" sqref="C65"/>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15401.814</v>
      </c>
      <c r="E1" s="1353" t="s">
        <v>2409</v>
      </c>
      <c r="F1" s="2305">
        <f>'数据-汇总表'!D3</f>
        <v>5500.65</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19878</v>
      </c>
      <c r="C2" s="1354" t="s">
        <v>910</v>
      </c>
      <c r="D2" s="1355" t="s">
        <v>911</v>
      </c>
      <c r="E2" s="1356" t="s">
        <v>1665</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24941</v>
      </c>
      <c r="U2" s="2641"/>
      <c r="V2" s="2652">
        <f ca="1">ROUND(T2*U2/10000,0)</f>
        <v>0</v>
      </c>
      <c r="W2" s="2068"/>
      <c r="X2" s="2068"/>
      <c r="Y2" s="2068"/>
      <c r="Z2" s="2068"/>
      <c r="AA2" s="2068"/>
      <c r="AB2" s="2068"/>
      <c r="AC2" s="2069"/>
    </row>
    <row r="3" spans="1:39" ht="24">
      <c r="A3" s="1358" t="s">
        <v>1675</v>
      </c>
      <c r="B3" s="1023">
        <f ca="1">ROUND(B2*10000/D1,0)</f>
        <v>12906</v>
      </c>
      <c r="C3" s="1354" t="s">
        <v>916</v>
      </c>
      <c r="D3" s="1355" t="s">
        <v>917</v>
      </c>
      <c r="E3" s="1359" t="s">
        <v>3066</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17903</v>
      </c>
      <c r="U3" s="2641"/>
      <c r="V3" s="2652">
        <f t="shared" ref="V3:V16" ca="1" si="1">ROUND(T3*U3/10000,0)</f>
        <v>0</v>
      </c>
      <c r="W3" s="2068"/>
      <c r="X3" s="2068"/>
      <c r="Y3" s="2068"/>
      <c r="Z3" s="2068"/>
      <c r="AA3" s="2068"/>
      <c r="AB3" s="2068"/>
      <c r="AC3" s="2069"/>
    </row>
    <row r="4" spans="1:39" ht="28.5">
      <c r="A4" s="1803" t="s">
        <v>2265</v>
      </c>
      <c r="B4" s="2306">
        <f ca="1">ROUND(B2*10000/F1,0)</f>
        <v>36138</v>
      </c>
      <c r="C4" s="1806" t="s">
        <v>2240</v>
      </c>
      <c r="D4" s="1806">
        <f ca="1">ROUND(B2/(F1/666.67),0)</f>
        <v>2409</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14443</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9214</v>
      </c>
      <c r="D5" s="2791">
        <f>ROUND(C6+C16,0)</f>
        <v>9214</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11589</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SUMIF(L1:L12,基准地价办公!G2,M1:M12)</f>
        <v>9270</v>
      </c>
      <c r="D6" s="1370" t="s">
        <v>1683</v>
      </c>
      <c r="E6" s="1371"/>
      <c r="F6" s="1371"/>
      <c r="G6" s="1372"/>
      <c r="H6" s="1372"/>
      <c r="I6" s="1372"/>
      <c r="J6" s="1373"/>
      <c r="K6" s="3231"/>
      <c r="L6" s="1797" t="s">
        <v>2229</v>
      </c>
      <c r="M6" s="1798">
        <f>SUMPRODUCT((区片价!B110:B157=I2)*(区片价!C3:F3=E2)*(区片价!C110:F157))</f>
        <v>9270</v>
      </c>
      <c r="N6" s="1799">
        <f>SUMPRODUCT((因素修正幅度!B110:B157=I2)*(因素修正幅度!C3:F3=E2)*(因素修正幅度!C110:F157))</f>
        <v>0.123</v>
      </c>
      <c r="O6" s="3231"/>
      <c r="P6" s="3234"/>
      <c r="Q6" s="2068"/>
      <c r="R6" s="2652">
        <v>5</v>
      </c>
      <c r="S6" s="2652">
        <f>ROUND(IF(G3&gt;1,IF(R6&lt;7,SUMPRODUCT((B93:B98=R6)*(C92:N92=G2)*(C93:N98)),SUMIF(C92:N92,G2,C100:N100)),IF(R6&lt;7,SUMPRODUCT((B102:B107=R6)*(C92:N92=G2)*(C102:N107)),SUMIF(C92:N92,G2,C109:N109))),4)</f>
        <v>0.73709999999999998</v>
      </c>
      <c r="T6" s="2652">
        <f t="shared" ca="1" si="0"/>
        <v>9869</v>
      </c>
      <c r="U6" s="2641"/>
      <c r="V6" s="2652">
        <f t="shared" ca="1" si="1"/>
        <v>0</v>
      </c>
      <c r="W6" s="2068"/>
      <c r="X6" s="2068"/>
      <c r="Y6" s="2068"/>
      <c r="Z6" s="2068"/>
      <c r="AA6" s="2068"/>
      <c r="AB6" s="2068"/>
      <c r="AC6" s="2070"/>
      <c r="AD6" s="1366"/>
      <c r="AE6" s="1366"/>
      <c r="AF6" s="1366"/>
      <c r="AG6" s="1366"/>
      <c r="AH6" s="1366"/>
      <c r="AI6" s="1366"/>
      <c r="AJ6" s="1367"/>
    </row>
    <row r="7" spans="1:39" ht="24">
      <c r="A7" s="3642" t="str">
        <f>IF(E2="商业",IF(C8="不临58条商业街","",2),"")</f>
        <v/>
      </c>
      <c r="B7" s="1374" t="s">
        <v>921</v>
      </c>
      <c r="C7" s="1028" t="e">
        <f>IF(C8="不临58条商业街",1,ROUND(1+(1.6*E8+1.2*E9+0.8*E10+0.4*E11)*C9,4))</f>
        <v>#DIV/0!</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8678</v>
      </c>
      <c r="U7" s="2641"/>
      <c r="V7" s="2652">
        <f t="shared" ca="1" si="1"/>
        <v>0</v>
      </c>
      <c r="W7" s="3280" t="s">
        <v>2742</v>
      </c>
      <c r="X7" s="2642" t="str">
        <f>G2</f>
        <v>六级</v>
      </c>
      <c r="Y7" s="2642" t="s">
        <v>2743</v>
      </c>
      <c r="Z7" s="2643">
        <f>G3</f>
        <v>2.8</v>
      </c>
      <c r="AA7" s="2071"/>
      <c r="AB7" s="2071"/>
      <c r="AC7" s="2072"/>
      <c r="AD7" s="2644"/>
      <c r="AE7" s="2644"/>
      <c r="AF7" s="2644"/>
      <c r="AG7" s="2644"/>
      <c r="AH7" s="2644"/>
      <c r="AI7" s="2644"/>
      <c r="AJ7" s="2645"/>
    </row>
    <row r="8" spans="1:39" ht="15">
      <c r="A8" s="3643"/>
      <c r="B8" s="1361" t="s">
        <v>923</v>
      </c>
      <c r="C8" s="1467"/>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29" t="s">
        <v>2760</v>
      </c>
      <c r="X8" s="3630"/>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43"/>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28"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43"/>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28"/>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43"/>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28"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42"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28"/>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44"/>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28"/>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44"/>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45"/>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42" t="s">
        <v>1826</v>
      </c>
      <c r="B16" s="1374" t="s">
        <v>939</v>
      </c>
      <c r="C16" s="1037">
        <f>ROUND(IF(F17="与级别开发程度一致",0,(G17-E17)/C17),0)</f>
        <v>-56</v>
      </c>
      <c r="D16" s="3636" t="s">
        <v>943</v>
      </c>
      <c r="E16" s="3637"/>
      <c r="F16" s="3636" t="s">
        <v>940</v>
      </c>
      <c r="G16" s="3637"/>
      <c r="H16" s="1406" t="s">
        <v>3155</v>
      </c>
      <c r="I16" s="1406" t="s">
        <v>3156</v>
      </c>
      <c r="J16" s="1406" t="s">
        <v>3157</v>
      </c>
      <c r="K16" s="1406" t="s">
        <v>941</v>
      </c>
      <c r="L16" s="1406" t="s">
        <v>941</v>
      </c>
      <c r="M16" s="1406" t="s">
        <v>941</v>
      </c>
      <c r="N16" s="1406" t="s">
        <v>3158</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46"/>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3154</v>
      </c>
      <c r="G17" s="2844">
        <f>SUM(H17:O17)</f>
        <v>160</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0</v>
      </c>
      <c r="L17" s="1036">
        <f>SUMPRODUCT((七通一平=L16)*(修正!B1:M1=G2)*(修正!B6:M14))</f>
        <v>0</v>
      </c>
      <c r="M17" s="1036">
        <f>SUMPRODUCT((七通一平=M16)*(修正!B1:M1=G2)*(修正!B6:M14))</f>
        <v>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43">
        <f>基准地价商业!C19</f>
        <v>1.3906000000000001</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258</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0.96399999999999997</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0.96399999999999997</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0.96399999999999997</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0.96399999999999997</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1.0448999999999999</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19878</v>
      </c>
      <c r="D26" s="1428"/>
      <c r="E26" s="1403"/>
      <c r="F26" s="1429"/>
      <c r="G26" s="1403"/>
      <c r="H26" s="1403"/>
      <c r="I26" s="1403"/>
      <c r="J26" s="1430"/>
      <c r="K26" s="3231"/>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12906</v>
      </c>
      <c r="D29" s="1442">
        <f>'数据-基础表'!K13</f>
        <v>15401.814</v>
      </c>
      <c r="E29" s="1761">
        <f ca="1">ROUND(C29*D29/10000,0)</f>
        <v>19878</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3227</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38"/>
      <c r="B33" s="1462" t="s">
        <v>988</v>
      </c>
      <c r="C33" s="1044">
        <f ca="1">ROUND(D5*C19*C20*C24*F33,0)</f>
        <v>9372</v>
      </c>
      <c r="D33" s="1475"/>
      <c r="E33" s="1033">
        <f ca="1">ROUND(C33*D33/10000,0)</f>
        <v>0</v>
      </c>
      <c r="F33" s="1033">
        <f>SUMIF(修正!A45:A56,G2,修正!B45:B56)</f>
        <v>0.7</v>
      </c>
      <c r="G33" s="1033">
        <f t="shared" ref="G33" ca="1" si="6">ROUND(IF(E2="工业",C33*$M$39,C33*$M$38),0)</f>
        <v>2343</v>
      </c>
      <c r="H33" s="1033">
        <f>D33</f>
        <v>0</v>
      </c>
      <c r="I33" s="1033">
        <f ca="1">ROUND(G33*H33/10000,0)</f>
        <v>0</v>
      </c>
      <c r="J33" s="3638"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39"/>
      <c r="B34" s="1392" t="s">
        <v>989</v>
      </c>
      <c r="C34" s="1044">
        <f ca="1">ROUND(D5*C19*C20*C24*F34,0)</f>
        <v>5355</v>
      </c>
      <c r="D34" s="1475"/>
      <c r="E34" s="1033">
        <f t="shared" ref="E34:E39" ca="1" si="7">ROUND(C34*D34/10000,0)</f>
        <v>0</v>
      </c>
      <c r="F34" s="1033">
        <f>SUMIF(修正!A45:A56,G2,修正!C45:C56)</f>
        <v>0.4</v>
      </c>
      <c r="G34" s="1033">
        <f ca="1">ROUND(IF(E2="工业",C34*$M$39,C34*$M$38),0)</f>
        <v>1339</v>
      </c>
      <c r="H34" s="1033">
        <f t="shared" ref="H34:H39" si="8">D34</f>
        <v>0</v>
      </c>
      <c r="I34" s="1033">
        <f t="shared" ref="I34:I39" ca="1" si="9">ROUND(G34*H34/10000,0)</f>
        <v>0</v>
      </c>
      <c r="J34" s="3639"/>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39"/>
      <c r="B35" s="1392" t="s">
        <v>990</v>
      </c>
      <c r="C35" s="1044">
        <f ca="1">ROUND(D5*C19*C20*C24*F35,0)</f>
        <v>3749</v>
      </c>
      <c r="D35" s="1475"/>
      <c r="E35" s="1033">
        <f t="shared" ca="1" si="7"/>
        <v>0</v>
      </c>
      <c r="F35" s="1033">
        <f>SUMIF(修正!A45:A56,G2,修正!D45:D56)</f>
        <v>0.28000000000000003</v>
      </c>
      <c r="G35" s="1033">
        <f ca="1">ROUND(IF(E2="工业",C35*$M$39,C35*$M$38),0)</f>
        <v>937</v>
      </c>
      <c r="H35" s="1033">
        <f t="shared" si="8"/>
        <v>0</v>
      </c>
      <c r="I35" s="1033">
        <f t="shared" ca="1" si="9"/>
        <v>0</v>
      </c>
      <c r="J35" s="3639"/>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40"/>
      <c r="B36" s="1392" t="s">
        <v>991</v>
      </c>
      <c r="C36" s="1044">
        <f ca="1">ROUND(D5*C19*C20*C24*F36,0)</f>
        <v>3347</v>
      </c>
      <c r="D36" s="1475"/>
      <c r="E36" s="1033">
        <f t="shared" ca="1" si="7"/>
        <v>0</v>
      </c>
      <c r="F36" s="1033">
        <f>SUMIF(修正!A45:A56,G2,修正!E45:E56)</f>
        <v>0.25</v>
      </c>
      <c r="G36" s="1033">
        <f ca="1">ROUND(IF(E2="工业",C36*$M$39,C36*$M$38),0)</f>
        <v>837</v>
      </c>
      <c r="H36" s="1033">
        <f t="shared" si="8"/>
        <v>0</v>
      </c>
      <c r="I36" s="1033">
        <f t="shared" ca="1" si="9"/>
        <v>0</v>
      </c>
      <c r="J36" s="3640"/>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3347</v>
      </c>
      <c r="D37" s="1475"/>
      <c r="E37" s="1033">
        <f t="shared" ca="1" si="7"/>
        <v>0</v>
      </c>
      <c r="F37" s="1044">
        <f>SUMIF(修正!A45:A56,G2,修正!F45:F56)</f>
        <v>0.25</v>
      </c>
      <c r="G37" s="1033">
        <f ca="1">ROUND(IF(E2="工业",C37*$M$39,C37*$M$38),0)</f>
        <v>837</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1.0448999999999999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3074</v>
      </c>
      <c r="D58" s="2270">
        <f t="shared" ref="D58:D66" si="15">SUMIF($J$57:$N$57,C58,J58:N58)</f>
        <v>0</v>
      </c>
      <c r="E58" s="2289">
        <f>ROUND(SUM(D58:D66),4)</f>
        <v>4.4900000000000002E-2</v>
      </c>
      <c r="F58" s="2290">
        <f>IF(E2="办公",SUMIF(L1:L12,G2,N1:N12),"——")</f>
        <v>0.123</v>
      </c>
      <c r="G58" s="2268">
        <f>H58</f>
        <v>1.47E-2</v>
      </c>
      <c r="H58" s="2313">
        <f>IFERROR(ROUNDDOWN($F$58*I58/2,4),"——")</f>
        <v>1.47E-2</v>
      </c>
      <c r="I58" s="2288">
        <v>0.24</v>
      </c>
      <c r="J58" s="2291">
        <f t="shared" ref="J58:J66" si="16">K58+$G58</f>
        <v>2.9399999999999999E-2</v>
      </c>
      <c r="K58" s="2291">
        <f t="shared" ref="K58:K66" si="17">$L58+$G58</f>
        <v>1.47E-2</v>
      </c>
      <c r="L58" s="2291">
        <v>0</v>
      </c>
      <c r="M58" s="2291">
        <f t="shared" ref="M58:N66" si="18">L58-$G58</f>
        <v>-1.47E-2</v>
      </c>
      <c r="N58" s="2291">
        <f t="shared" si="18"/>
        <v>-2.9399999999999999E-2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78" t="s">
        <v>3075</v>
      </c>
      <c r="D59" s="2270">
        <f t="shared" si="15"/>
        <v>1.8449999999999998E-2</v>
      </c>
      <c r="E59" s="2292"/>
      <c r="F59" s="2290"/>
      <c r="G59" s="2268">
        <f t="shared" ref="G59:G66" si="19">H59</f>
        <v>1.8449999999999998E-2</v>
      </c>
      <c r="H59" s="2269">
        <f t="shared" ref="H59:H66" si="20">IFERROR($F$58*I59/2,"——")</f>
        <v>1.8449999999999998E-2</v>
      </c>
      <c r="I59" s="2288">
        <v>0.3</v>
      </c>
      <c r="J59" s="2291">
        <f t="shared" si="16"/>
        <v>3.6899999999999995E-2</v>
      </c>
      <c r="K59" s="2291">
        <f t="shared" si="17"/>
        <v>1.8449999999999998E-2</v>
      </c>
      <c r="L59" s="2291">
        <v>0</v>
      </c>
      <c r="M59" s="2291">
        <f t="shared" si="18"/>
        <v>-1.8449999999999998E-2</v>
      </c>
      <c r="N59" s="2291">
        <f t="shared" si="18"/>
        <v>-3.6899999999999995E-2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3074</v>
      </c>
      <c r="D60" s="2270">
        <f t="shared" si="15"/>
        <v>0</v>
      </c>
      <c r="E60" s="2292"/>
      <c r="F60" s="2290"/>
      <c r="G60" s="2268">
        <f t="shared" si="19"/>
        <v>4.9199999999999999E-3</v>
      </c>
      <c r="H60" s="2269">
        <f t="shared" si="20"/>
        <v>4.9199999999999999E-3</v>
      </c>
      <c r="I60" s="2288">
        <v>0.08</v>
      </c>
      <c r="J60" s="2291">
        <f t="shared" si="16"/>
        <v>9.8399999999999998E-3</v>
      </c>
      <c r="K60" s="2291">
        <f t="shared" si="17"/>
        <v>4.9199999999999999E-3</v>
      </c>
      <c r="L60" s="2291">
        <v>0</v>
      </c>
      <c r="M60" s="2291">
        <f t="shared" si="18"/>
        <v>-4.9199999999999999E-3</v>
      </c>
      <c r="N60" s="2291">
        <f t="shared" si="18"/>
        <v>-9.8399999999999998E-3</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3075</v>
      </c>
      <c r="D61" s="2270">
        <f t="shared" si="15"/>
        <v>2.4599999999999999E-3</v>
      </c>
      <c r="E61" s="2292"/>
      <c r="F61" s="2290"/>
      <c r="G61" s="2268">
        <f t="shared" si="19"/>
        <v>2.4599999999999999E-3</v>
      </c>
      <c r="H61" s="2269">
        <f t="shared" si="20"/>
        <v>2.4599999999999999E-3</v>
      </c>
      <c r="I61" s="2288">
        <v>0.04</v>
      </c>
      <c r="J61" s="2291">
        <f t="shared" si="16"/>
        <v>4.9199999999999999E-3</v>
      </c>
      <c r="K61" s="2291">
        <f t="shared" si="17"/>
        <v>2.4599999999999999E-3</v>
      </c>
      <c r="L61" s="2291">
        <v>0</v>
      </c>
      <c r="M61" s="2291">
        <f t="shared" si="18"/>
        <v>-2.4599999999999999E-3</v>
      </c>
      <c r="N61" s="2291">
        <f t="shared" si="18"/>
        <v>-4.9199999999999999E-3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3081</v>
      </c>
      <c r="D62" s="2270">
        <f t="shared" si="15"/>
        <v>6.1500000000000001E-3</v>
      </c>
      <c r="E62" s="2292"/>
      <c r="F62" s="2290"/>
      <c r="G62" s="2268">
        <f t="shared" si="19"/>
        <v>3.075E-3</v>
      </c>
      <c r="H62" s="2269">
        <f t="shared" si="20"/>
        <v>3.075E-3</v>
      </c>
      <c r="I62" s="2288">
        <v>0.05</v>
      </c>
      <c r="J62" s="2291">
        <f t="shared" si="16"/>
        <v>6.1500000000000001E-3</v>
      </c>
      <c r="K62" s="2291">
        <f t="shared" si="17"/>
        <v>3.075E-3</v>
      </c>
      <c r="L62" s="2291">
        <v>0</v>
      </c>
      <c r="M62" s="2291">
        <f t="shared" si="18"/>
        <v>-3.075E-3</v>
      </c>
      <c r="N62" s="2291">
        <f t="shared" si="18"/>
        <v>-6.1500000000000001E-3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3075</v>
      </c>
      <c r="D63" s="2270">
        <f t="shared" si="15"/>
        <v>3.075E-3</v>
      </c>
      <c r="E63" s="2292"/>
      <c r="F63" s="2290"/>
      <c r="G63" s="2268">
        <f t="shared" si="19"/>
        <v>3.075E-3</v>
      </c>
      <c r="H63" s="2269">
        <f t="shared" si="20"/>
        <v>3.075E-3</v>
      </c>
      <c r="I63" s="2288">
        <v>0.05</v>
      </c>
      <c r="J63" s="2291">
        <f t="shared" si="16"/>
        <v>6.1500000000000001E-3</v>
      </c>
      <c r="K63" s="2291">
        <f t="shared" si="17"/>
        <v>3.075E-3</v>
      </c>
      <c r="L63" s="2291">
        <v>0</v>
      </c>
      <c r="M63" s="2291">
        <f t="shared" si="18"/>
        <v>-3.075E-3</v>
      </c>
      <c r="N63" s="2291">
        <f t="shared" si="18"/>
        <v>-6.1500000000000001E-3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3074</v>
      </c>
      <c r="D64" s="2270">
        <f t="shared" si="15"/>
        <v>0</v>
      </c>
      <c r="E64" s="2292"/>
      <c r="F64" s="2290"/>
      <c r="G64" s="2268">
        <f t="shared" si="19"/>
        <v>3.6899999999999997E-3</v>
      </c>
      <c r="H64" s="2269">
        <f t="shared" si="20"/>
        <v>3.6899999999999997E-3</v>
      </c>
      <c r="I64" s="2288">
        <v>0.06</v>
      </c>
      <c r="J64" s="2291">
        <f t="shared" si="16"/>
        <v>7.3799999999999994E-3</v>
      </c>
      <c r="K64" s="2291">
        <f t="shared" si="17"/>
        <v>3.6899999999999997E-3</v>
      </c>
      <c r="L64" s="2291">
        <v>0</v>
      </c>
      <c r="M64" s="2291">
        <f t="shared" si="18"/>
        <v>-3.6899999999999997E-3</v>
      </c>
      <c r="N64" s="2291">
        <f t="shared" si="18"/>
        <v>-7.3799999999999994E-3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3075</v>
      </c>
      <c r="D65" s="2270">
        <f t="shared" si="15"/>
        <v>7.3799999999999994E-3</v>
      </c>
      <c r="E65" s="2292"/>
      <c r="F65" s="2290"/>
      <c r="G65" s="2268">
        <f t="shared" si="19"/>
        <v>7.3799999999999994E-3</v>
      </c>
      <c r="H65" s="2269">
        <f t="shared" si="20"/>
        <v>7.3799999999999994E-3</v>
      </c>
      <c r="I65" s="2288">
        <v>0.12</v>
      </c>
      <c r="J65" s="2291">
        <f t="shared" si="16"/>
        <v>1.4759999999999999E-2</v>
      </c>
      <c r="K65" s="2291">
        <f t="shared" si="17"/>
        <v>7.3799999999999994E-3</v>
      </c>
      <c r="L65" s="2291">
        <v>0</v>
      </c>
      <c r="M65" s="2291">
        <f t="shared" si="18"/>
        <v>-7.3799999999999994E-3</v>
      </c>
      <c r="N65" s="2291">
        <f t="shared" si="18"/>
        <v>-1.4759999999999999E-2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3081</v>
      </c>
      <c r="D66" s="2270">
        <f t="shared" si="15"/>
        <v>7.3799999999999994E-3</v>
      </c>
      <c r="E66" s="2296"/>
      <c r="F66" s="2290"/>
      <c r="G66" s="2268">
        <f t="shared" si="19"/>
        <v>3.6899999999999997E-3</v>
      </c>
      <c r="H66" s="2269">
        <f t="shared" si="20"/>
        <v>3.6899999999999997E-3</v>
      </c>
      <c r="I66" s="2295">
        <v>0.06</v>
      </c>
      <c r="J66" s="2291">
        <f t="shared" si="16"/>
        <v>7.3799999999999994E-3</v>
      </c>
      <c r="K66" s="2291">
        <f t="shared" si="17"/>
        <v>3.6899999999999997E-3</v>
      </c>
      <c r="L66" s="2291">
        <v>0</v>
      </c>
      <c r="M66" s="2291">
        <f t="shared" si="18"/>
        <v>-3.6899999999999997E-3</v>
      </c>
      <c r="N66" s="2291">
        <f t="shared" si="18"/>
        <v>-7.3799999999999994E-3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47" t="s">
        <v>1622</v>
      </c>
      <c r="B90" s="3647"/>
      <c r="C90" s="3647"/>
      <c r="D90" s="3647"/>
      <c r="E90" s="3647"/>
      <c r="F90" s="3647"/>
      <c r="G90" s="3647"/>
      <c r="H90" s="3647"/>
      <c r="I90" s="3647"/>
      <c r="J90" s="3647"/>
      <c r="K90" s="3278"/>
      <c r="L90" s="3278"/>
      <c r="M90" s="3278"/>
      <c r="N90" s="3278"/>
    </row>
    <row r="91" spans="1:40">
      <c r="A91" s="3648" t="s">
        <v>1432</v>
      </c>
      <c r="B91" s="3648" t="s">
        <v>1623</v>
      </c>
      <c r="C91" s="1121" t="s">
        <v>1624</v>
      </c>
      <c r="D91" s="1122"/>
      <c r="E91" s="1122"/>
      <c r="F91" s="1122"/>
      <c r="G91" s="1122"/>
      <c r="H91" s="1122"/>
      <c r="I91" s="1122"/>
      <c r="J91" s="1123"/>
      <c r="K91" s="1115"/>
      <c r="L91" s="1115"/>
      <c r="M91" s="1115"/>
      <c r="N91" s="1115"/>
    </row>
    <row r="92" spans="1:40">
      <c r="A92" s="3648"/>
      <c r="B92" s="3648"/>
      <c r="C92" s="3279" t="s">
        <v>873</v>
      </c>
      <c r="D92" s="3279" t="s">
        <v>874</v>
      </c>
      <c r="E92" s="3279" t="s">
        <v>875</v>
      </c>
      <c r="F92" s="3279" t="s">
        <v>876</v>
      </c>
      <c r="G92" s="3279" t="s">
        <v>877</v>
      </c>
      <c r="H92" s="3279" t="s">
        <v>878</v>
      </c>
      <c r="I92" s="3279" t="s">
        <v>879</v>
      </c>
      <c r="J92" s="3279" t="s">
        <v>880</v>
      </c>
      <c r="K92" s="3279" t="s">
        <v>904</v>
      </c>
      <c r="L92" s="3279" t="s">
        <v>882</v>
      </c>
      <c r="M92" s="3279" t="s">
        <v>883</v>
      </c>
      <c r="N92" s="3279" t="s">
        <v>907</v>
      </c>
    </row>
    <row r="93" spans="1:40">
      <c r="A93" s="3631"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32"/>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32"/>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32"/>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32"/>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32"/>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32"/>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33"/>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31"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32"/>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32"/>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32"/>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32"/>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32"/>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32"/>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32"/>
      <c r="B108" s="3634"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33"/>
      <c r="B109" s="3635"/>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41" t="s">
        <v>1628</v>
      </c>
      <c r="B110" s="3641"/>
      <c r="C110" s="3641"/>
      <c r="D110" s="3641"/>
      <c r="E110" s="3641"/>
      <c r="F110" s="3641"/>
      <c r="G110" s="3641"/>
      <c r="H110" s="3641"/>
      <c r="I110" s="3641"/>
      <c r="J110" s="3641"/>
      <c r="K110" s="3277"/>
      <c r="L110" s="3277"/>
      <c r="M110" s="3277"/>
      <c r="N110" s="3277"/>
    </row>
    <row r="112" spans="1:14" ht="12.75" thickBot="1"/>
    <row r="113" spans="1:13" ht="25.5" thickBot="1">
      <c r="A113" s="1001" t="s">
        <v>885</v>
      </c>
      <c r="B113" s="2304">
        <f>G3</f>
        <v>2.8</v>
      </c>
      <c r="C113" s="1002" t="s">
        <v>886</v>
      </c>
      <c r="D113" s="1003">
        <f>SUMPRODUCT((A115:A118=F113)*(B114:M114=H113)*B115:M118)</f>
        <v>0.82030000000000003</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38" priority="5" stopIfTrue="1" operator="notEqual">
      <formula>"——"</formula>
    </cfRule>
  </conditionalFormatting>
  <conditionalFormatting sqref="F58">
    <cfRule type="cellIs" dxfId="137" priority="4" stopIfTrue="1" operator="notEqual">
      <formula>"——"</formula>
    </cfRule>
  </conditionalFormatting>
  <conditionalFormatting sqref="F69">
    <cfRule type="cellIs" dxfId="136" priority="3" stopIfTrue="1" operator="notEqual">
      <formula>"——"</formula>
    </cfRule>
  </conditionalFormatting>
  <conditionalFormatting sqref="F80">
    <cfRule type="cellIs" dxfId="135" priority="2" stopIfTrue="1" operator="notEqual">
      <formula>"——"</formula>
    </cfRule>
  </conditionalFormatting>
  <conditionalFormatting sqref="H58:H66 H47:H55 H69:H77 H80:H87">
    <cfRule type="cellIs" dxfId="13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sheetPr>
    <tabColor rgb="FF92D050"/>
  </sheetPr>
  <dimension ref="A1:AH117"/>
  <sheetViews>
    <sheetView topLeftCell="G1" zoomScale="80" zoomScaleNormal="80" workbookViewId="0">
      <selection activeCell="L27" sqref="L27"/>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661" t="s">
        <v>2554</v>
      </c>
      <c r="C1" s="3661"/>
      <c r="D1" s="3661"/>
      <c r="E1" s="3661"/>
      <c r="F1" s="3661"/>
      <c r="G1" s="3660" t="s">
        <v>2555</v>
      </c>
      <c r="H1" s="3660"/>
      <c r="I1" s="3660"/>
      <c r="J1" s="3660"/>
      <c r="K1" s="3660"/>
      <c r="L1" s="3660"/>
      <c r="N1" s="3660" t="s">
        <v>2556</v>
      </c>
      <c r="O1" s="3660"/>
      <c r="P1" s="3660"/>
      <c r="Q1" s="3660"/>
      <c r="S1" s="3660" t="s">
        <v>2557</v>
      </c>
      <c r="T1" s="3660"/>
      <c r="U1" s="3660"/>
      <c r="V1" s="3660"/>
      <c r="X1" s="3659" t="s">
        <v>2617</v>
      </c>
      <c r="Y1" s="3660"/>
      <c r="Z1" s="3660"/>
      <c r="AA1" s="3660"/>
      <c r="AB1" s="3660"/>
      <c r="AD1" s="3659" t="s">
        <v>2621</v>
      </c>
      <c r="AE1" s="3660"/>
      <c r="AF1" s="3660"/>
      <c r="AG1" s="3660"/>
      <c r="AH1" s="3660"/>
    </row>
    <row r="2" spans="1:34" s="2863" customFormat="1" ht="14.25" thickBot="1">
      <c r="B2" s="2864" t="s">
        <v>2558</v>
      </c>
      <c r="C2" s="2864" t="s">
        <v>2619</v>
      </c>
      <c r="D2" s="2865" t="s">
        <v>1632</v>
      </c>
      <c r="E2" s="2865" t="s">
        <v>1935</v>
      </c>
      <c r="F2" s="2864" t="s">
        <v>2620</v>
      </c>
      <c r="G2" s="2866"/>
      <c r="I2" s="2864" t="s">
        <v>2917</v>
      </c>
      <c r="J2" s="2865" t="s">
        <v>2919</v>
      </c>
      <c r="K2" s="2865" t="s">
        <v>2920</v>
      </c>
      <c r="L2" s="2864" t="s">
        <v>2921</v>
      </c>
      <c r="N2" s="2864" t="s">
        <v>2558</v>
      </c>
      <c r="O2" s="2865" t="s">
        <v>2918</v>
      </c>
      <c r="P2" s="2865" t="s">
        <v>1935</v>
      </c>
      <c r="Q2" s="2864" t="s">
        <v>2620</v>
      </c>
      <c r="S2" s="2864" t="s">
        <v>2558</v>
      </c>
      <c r="T2" s="2865" t="s">
        <v>2918</v>
      </c>
      <c r="U2" s="2865" t="s">
        <v>1935</v>
      </c>
      <c r="V2" s="2864" t="s">
        <v>2620</v>
      </c>
      <c r="X2" s="2864" t="s">
        <v>2558</v>
      </c>
      <c r="Y2" s="2864" t="s">
        <v>2619</v>
      </c>
      <c r="Z2" s="2865" t="s">
        <v>1632</v>
      </c>
      <c r="AA2" s="2865" t="s">
        <v>1935</v>
      </c>
      <c r="AB2" s="2864" t="s">
        <v>2620</v>
      </c>
      <c r="AD2" s="2864" t="s">
        <v>2558</v>
      </c>
      <c r="AE2" s="2864" t="s">
        <v>2619</v>
      </c>
      <c r="AF2" s="2865" t="s">
        <v>1632</v>
      </c>
      <c r="AG2" s="2865" t="s">
        <v>1935</v>
      </c>
      <c r="AH2" s="2864" t="s">
        <v>2620</v>
      </c>
    </row>
    <row r="3" spans="1:34" s="2873" customFormat="1" ht="14.25">
      <c r="A3" s="2867" t="s">
        <v>2928</v>
      </c>
      <c r="B3" s="2868"/>
      <c r="C3" s="2868"/>
      <c r="D3" s="2869"/>
      <c r="E3" s="2869"/>
      <c r="F3" s="2868"/>
      <c r="G3" s="2870"/>
      <c r="H3" s="2871"/>
      <c r="I3" s="2872">
        <f>ROUND(AVERAGE($I4:$I34),2)</f>
        <v>1.73</v>
      </c>
      <c r="J3" s="2872">
        <f>ROUND(AVERAGE($J4:$J34),2)</f>
        <v>1.0900000000000001</v>
      </c>
      <c r="K3" s="2872">
        <f>ROUND(AVERAGE($K4:$K34),2)</f>
        <v>1.9</v>
      </c>
      <c r="L3" s="2872">
        <f>ROUND(AVERAGE($L4:$L34),2)</f>
        <v>1.25</v>
      </c>
      <c r="N3" s="2870"/>
      <c r="S3" s="2870"/>
      <c r="W3" s="2874"/>
      <c r="X3" s="2875">
        <f>ROUND(SUMPRODUCT(PRODUCT(1+N3:N$33)),4)</f>
        <v>1.619</v>
      </c>
      <c r="Y3" s="2875">
        <f>ROUND(SUMPRODUCT(PRODUCT(1+O3:O$33)),4)</f>
        <v>1.3491</v>
      </c>
      <c r="Z3" s="2875">
        <f t="shared" ref="Z3" si="0">Y3</f>
        <v>1.3491</v>
      </c>
      <c r="AA3" s="2875">
        <f>ROUND(SUMPRODUCT(PRODUCT(1+P3:P$33)),4)</f>
        <v>1.6988000000000001</v>
      </c>
      <c r="AB3" s="2875">
        <f>ROUND(SUMPRODUCT(PRODUCT(1+Q3:Q$33)),4)</f>
        <v>1.4315</v>
      </c>
      <c r="AD3" s="2876">
        <f>ROUND(AVERAGE(I3:I$34)/100,4)</f>
        <v>1.7299999999999999E-2</v>
      </c>
      <c r="AE3" s="2876">
        <f>ROUND(AVERAGE(J3:J$34)/100,4)</f>
        <v>1.09E-2</v>
      </c>
      <c r="AF3" s="2876">
        <f t="shared" ref="AF3:AF32" si="1">AE3</f>
        <v>1.09E-2</v>
      </c>
      <c r="AG3" s="2876">
        <f>ROUND(AVERAGE(K3:K$34)/100,4)</f>
        <v>1.9E-2</v>
      </c>
      <c r="AH3" s="2876">
        <f>ROUND(AVERAGE(L3:L$34)/100,4)</f>
        <v>1.2500000000000001E-2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2995</v>
      </c>
      <c r="B5" s="2887">
        <f t="shared" ref="B5" si="2">B6*(1+N5)</f>
        <v>497.92799851020823</v>
      </c>
      <c r="C5" s="2887">
        <f t="shared" ref="C5" si="3">C6*(1+O5)</f>
        <v>347.77173663537445</v>
      </c>
      <c r="D5" s="2887">
        <f t="shared" ref="D5" si="4">C5</f>
        <v>347.77173663537445</v>
      </c>
      <c r="E5" s="2887">
        <f t="shared" ref="E5" si="5">E6*(1+P5)</f>
        <v>718.44695593258189</v>
      </c>
      <c r="F5" s="2887">
        <f t="shared" ref="F5" si="6">F6*(1+Q5)</f>
        <v>329.12600580153247</v>
      </c>
      <c r="G5" s="2880">
        <v>2021</v>
      </c>
      <c r="H5" s="2888">
        <v>2</v>
      </c>
      <c r="I5" s="2889">
        <v>0</v>
      </c>
      <c r="J5" s="2889">
        <v>0</v>
      </c>
      <c r="K5" s="2889">
        <v>0</v>
      </c>
      <c r="L5" s="2889">
        <v>0</v>
      </c>
      <c r="N5" s="2891">
        <f t="shared" ref="N5" si="7">I5/100</f>
        <v>0</v>
      </c>
      <c r="O5" s="2891">
        <f t="shared" ref="O5" si="8">J5/100</f>
        <v>0</v>
      </c>
      <c r="P5" s="2891">
        <f t="shared" ref="P5" si="9">K5/100</f>
        <v>0</v>
      </c>
      <c r="Q5" s="2891">
        <f t="shared" ref="Q5" si="10">L5/100</f>
        <v>0</v>
      </c>
      <c r="S5" s="2892"/>
      <c r="W5" s="2893" t="s">
        <v>2929</v>
      </c>
      <c r="X5" s="2894">
        <f>ROUND(SUMPRODUCT(PRODUCT(1+N5:N$34)),4)</f>
        <v>1.6671</v>
      </c>
      <c r="Y5" s="2894">
        <f>ROUND(SUMPRODUCT(PRODUCT(1+O5:O$34)),4)</f>
        <v>1.3807</v>
      </c>
      <c r="Z5" s="2894">
        <f t="shared" ref="Z5" si="11">Y5</f>
        <v>1.3807</v>
      </c>
      <c r="AA5" s="2894">
        <f>ROUND(SUMPRODUCT(PRODUCT(1+P5:P$34)),4)</f>
        <v>1.7545999999999999</v>
      </c>
      <c r="AB5" s="2894">
        <f>ROUND(SUMPRODUCT(PRODUCT(1+Q5:Q$34)),4)</f>
        <v>1.4510000000000001</v>
      </c>
      <c r="AD5" s="2895">
        <f>ROUND(AVERAGE(I5:I$34)/100,4)</f>
        <v>1.7299999999999999E-2</v>
      </c>
      <c r="AE5" s="2895">
        <f>ROUND(AVERAGE(J5:J$34)/100,4)</f>
        <v>1.09E-2</v>
      </c>
      <c r="AF5" s="2895">
        <f t="shared" ref="AF5" si="12">AE5</f>
        <v>1.09E-2</v>
      </c>
      <c r="AG5" s="2895">
        <f>ROUND(AVERAGE(K5:K$34)/100,4)</f>
        <v>1.9E-2</v>
      </c>
      <c r="AH5" s="2895">
        <f>ROUND(AVERAGE(L5:L$34)/100,4)</f>
        <v>1.2500000000000001E-2</v>
      </c>
    </row>
    <row r="6" spans="1:34" s="2903" customFormat="1">
      <c r="A6" s="2896" t="s">
        <v>2994</v>
      </c>
      <c r="B6" s="2897">
        <f t="shared" ref="B6" si="13">B7*(1+N6)</f>
        <v>497.92799851020823</v>
      </c>
      <c r="C6" s="2897">
        <f t="shared" ref="C6" si="14">C7*(1+O6)</f>
        <v>347.77173663537445</v>
      </c>
      <c r="D6" s="2897">
        <f t="shared" ref="D6" si="15">C6</f>
        <v>347.77173663537445</v>
      </c>
      <c r="E6" s="2897">
        <f t="shared" ref="E6" si="16">E7*(1+P6)</f>
        <v>718.44695593258189</v>
      </c>
      <c r="F6" s="2897">
        <f t="shared" ref="F6" si="17">F7*(1+Q6)</f>
        <v>329.12600580153247</v>
      </c>
      <c r="G6" s="2880">
        <v>2021</v>
      </c>
      <c r="H6" s="2898">
        <v>1</v>
      </c>
      <c r="I6" s="2860">
        <v>0.97</v>
      </c>
      <c r="J6" s="2860">
        <v>0.16</v>
      </c>
      <c r="K6" s="2860">
        <v>1.1100000000000001</v>
      </c>
      <c r="L6" s="2861">
        <v>0.36</v>
      </c>
      <c r="M6" s="2884"/>
      <c r="N6" s="2899">
        <f t="shared" ref="N6" si="18">I6/100</f>
        <v>9.7000000000000003E-3</v>
      </c>
      <c r="O6" s="2885">
        <f t="shared" ref="O6" si="19">J6/100</f>
        <v>1.6000000000000001E-3</v>
      </c>
      <c r="P6" s="2885">
        <f t="shared" ref="P6" si="20">K6/100</f>
        <v>1.11E-2</v>
      </c>
      <c r="Q6" s="2885">
        <f t="shared" ref="Q6" si="21">L6/100</f>
        <v>3.5999999999999999E-3</v>
      </c>
      <c r="R6" s="2900"/>
      <c r="S6" s="2901">
        <f>B6/B7-1</f>
        <v>9.7000000000000419E-3</v>
      </c>
      <c r="T6" s="2902">
        <f>C6/C7-1</f>
        <v>1.6000000000000458E-3</v>
      </c>
      <c r="U6" s="2902">
        <f>E6/E7-1</f>
        <v>1.110000000000011E-2</v>
      </c>
      <c r="V6" s="2902">
        <f>F6/F7-1</f>
        <v>3.6000000000000476E-3</v>
      </c>
      <c r="W6" s="2884"/>
      <c r="X6" s="2884">
        <f>ROUND(SUMPRODUCT(PRODUCT(1+N6:N$34)),4)</f>
        <v>1.6671</v>
      </c>
      <c r="Y6" s="2884">
        <f>ROUND(SUMPRODUCT(PRODUCT(1+O6:O$34)),4)</f>
        <v>1.3807</v>
      </c>
      <c r="Z6" s="2884">
        <f t="shared" ref="Z6" si="22">Y6</f>
        <v>1.3807</v>
      </c>
      <c r="AA6" s="2884">
        <f>ROUND(SUMPRODUCT(PRODUCT(1+P6:P$34)),4)</f>
        <v>1.7545999999999999</v>
      </c>
      <c r="AB6" s="2884">
        <f>ROUND(SUMPRODUCT(PRODUCT(1+Q6:Q$34)),4)</f>
        <v>1.4510000000000001</v>
      </c>
      <c r="AC6" s="2884"/>
      <c r="AD6" s="2885">
        <f>ROUND(AVERAGE(I6:I$34)/100,4)</f>
        <v>1.7899999999999999E-2</v>
      </c>
      <c r="AE6" s="2885">
        <f>ROUND(AVERAGE(J6:J$34)/100,4)</f>
        <v>1.12E-2</v>
      </c>
      <c r="AF6" s="2885">
        <f t="shared" ref="AF6" si="23">AE6</f>
        <v>1.12E-2</v>
      </c>
      <c r="AG6" s="2885">
        <f>ROUND(AVERAGE(K6:K$34)/100,4)</f>
        <v>1.9699999999999999E-2</v>
      </c>
      <c r="AH6" s="2885">
        <f>ROUND(AVERAGE(L6:L$34)/100,4)</f>
        <v>1.29E-2</v>
      </c>
    </row>
    <row r="7" spans="1:34" s="2903" customFormat="1">
      <c r="A7" s="2896" t="s">
        <v>2993</v>
      </c>
      <c r="B7" s="2897">
        <f t="shared" ref="B7" si="24">B8*(1+N7)</f>
        <v>493.14449689037161</v>
      </c>
      <c r="C7" s="2897">
        <f t="shared" ref="C7" si="25">C8*(1+O7)</f>
        <v>347.21619073020611</v>
      </c>
      <c r="D7" s="2897">
        <f t="shared" ref="D7" si="26">C7</f>
        <v>347.21619073020611</v>
      </c>
      <c r="E7" s="2897">
        <f t="shared" ref="E7" si="27">E8*(1+P7)</f>
        <v>710.55974278763904</v>
      </c>
      <c r="F7" s="2897">
        <f t="shared" ref="F7" si="28">F8*(1+Q7)</f>
        <v>327.94540235306141</v>
      </c>
      <c r="G7" s="2880">
        <v>2020</v>
      </c>
      <c r="H7" s="2898">
        <v>4</v>
      </c>
      <c r="I7" s="2860">
        <v>2.0699999999999998</v>
      </c>
      <c r="J7" s="2860">
        <v>0.37</v>
      </c>
      <c r="K7" s="2860">
        <v>2.35</v>
      </c>
      <c r="L7" s="2861">
        <v>2.69</v>
      </c>
      <c r="M7" s="2884"/>
      <c r="N7" s="2899">
        <f t="shared" ref="N7" si="29">I7/100</f>
        <v>2.07E-2</v>
      </c>
      <c r="O7" s="2885">
        <f t="shared" ref="O7" si="30">J7/100</f>
        <v>3.7000000000000002E-3</v>
      </c>
      <c r="P7" s="2885">
        <f t="shared" ref="P7" si="31">K7/100</f>
        <v>2.35E-2</v>
      </c>
      <c r="Q7" s="2885">
        <f t="shared" ref="Q7" si="32">L7/100</f>
        <v>2.69E-2</v>
      </c>
      <c r="R7" s="2900"/>
      <c r="S7" s="2901"/>
      <c r="T7" s="2902"/>
      <c r="U7" s="2902"/>
      <c r="V7" s="2902"/>
      <c r="W7" s="2884"/>
      <c r="X7" s="2884">
        <f>ROUND(SUMPRODUCT(PRODUCT(1+N7:N$34)),4)</f>
        <v>1.6511</v>
      </c>
      <c r="Y7" s="2884">
        <f>ROUND(SUMPRODUCT(PRODUCT(1+O7:O$34)),4)</f>
        <v>1.3785000000000001</v>
      </c>
      <c r="Z7" s="2884">
        <f t="shared" ref="Z7" si="33">Y7</f>
        <v>1.3785000000000001</v>
      </c>
      <c r="AA7" s="2884">
        <f>ROUND(SUMPRODUCT(PRODUCT(1+P7:P$34)),4)</f>
        <v>1.7353000000000001</v>
      </c>
      <c r="AB7" s="2884">
        <f>ROUND(SUMPRODUCT(PRODUCT(1+Q7:Q$34)),4)</f>
        <v>1.4458</v>
      </c>
      <c r="AC7" s="2884"/>
      <c r="AD7" s="2885">
        <f>ROUND(AVERAGE(I7:I$34)/100,4)</f>
        <v>1.8200000000000001E-2</v>
      </c>
      <c r="AE7" s="2885">
        <f>ROUND(AVERAGE(J7:J$34)/100,4)</f>
        <v>1.1599999999999999E-2</v>
      </c>
      <c r="AF7" s="2885">
        <f t="shared" ref="AF7" si="34">AE7</f>
        <v>1.1599999999999999E-2</v>
      </c>
      <c r="AG7" s="2885">
        <f>ROUND(AVERAGE(K7:K$34)/100,4)</f>
        <v>0.02</v>
      </c>
      <c r="AH7" s="2885">
        <f>ROUND(AVERAGE(L7:L$34)/100,4)</f>
        <v>1.3299999999999999E-2</v>
      </c>
    </row>
    <row r="8" spans="1:34" s="2903" customFormat="1">
      <c r="A8" s="2896" t="s">
        <v>2992</v>
      </c>
      <c r="B8" s="2897">
        <f t="shared" ref="B8" si="35">B9*(1+N8)</f>
        <v>483.1434279321756</v>
      </c>
      <c r="C8" s="2897">
        <f t="shared" ref="C8" si="36">C9*(1+O8)</f>
        <v>345.93622669144776</v>
      </c>
      <c r="D8" s="2897">
        <f t="shared" ref="D8" si="37">C8</f>
        <v>345.93622669144776</v>
      </c>
      <c r="E8" s="2897">
        <f t="shared" ref="E8" si="38">E9*(1+P8)</f>
        <v>694.24498562544113</v>
      </c>
      <c r="F8" s="2897">
        <f t="shared" ref="F8" si="39">F9*(1+Q8)</f>
        <v>319.35475932716082</v>
      </c>
      <c r="G8" s="2880">
        <v>2020</v>
      </c>
      <c r="H8" s="2898">
        <v>3</v>
      </c>
      <c r="I8" s="2860">
        <v>0.36</v>
      </c>
      <c r="J8" s="2860">
        <v>-0.39</v>
      </c>
      <c r="K8" s="2860">
        <v>0.49</v>
      </c>
      <c r="L8" s="2861">
        <v>7.0000000000000007E-2</v>
      </c>
      <c r="M8" s="2884"/>
      <c r="N8" s="2899">
        <f t="shared" ref="N8" si="40">I8/100</f>
        <v>3.5999999999999999E-3</v>
      </c>
      <c r="O8" s="2885">
        <f t="shared" ref="O8" si="41">J8/100</f>
        <v>-3.9000000000000003E-3</v>
      </c>
      <c r="P8" s="2885">
        <f t="shared" ref="P8" si="42">K8/100</f>
        <v>4.8999999999999998E-3</v>
      </c>
      <c r="Q8" s="2885">
        <f t="shared" ref="Q8" si="43">L8/100</f>
        <v>7.000000000000001E-4</v>
      </c>
      <c r="R8" s="2900"/>
      <c r="S8" s="2901"/>
      <c r="T8" s="2902"/>
      <c r="U8" s="2902"/>
      <c r="V8" s="2902"/>
      <c r="W8" s="2884"/>
      <c r="X8" s="2884">
        <f>ROUND(SUMPRODUCT(PRODUCT(1+N8:N$34)),4)</f>
        <v>1.6175999999999999</v>
      </c>
      <c r="Y8" s="2884">
        <f>ROUND(SUMPRODUCT(PRODUCT(1+O8:O$34)),4)</f>
        <v>1.3734</v>
      </c>
      <c r="Z8" s="2884">
        <f t="shared" ref="Z8" si="44">Y8</f>
        <v>1.3734</v>
      </c>
      <c r="AA8" s="2884">
        <f>ROUND(SUMPRODUCT(PRODUCT(1+P8:P$34)),4)</f>
        <v>1.6955</v>
      </c>
      <c r="AB8" s="2884">
        <f>ROUND(SUMPRODUCT(PRODUCT(1+Q8:Q$34)),4)</f>
        <v>1.4078999999999999</v>
      </c>
      <c r="AC8" s="2884"/>
      <c r="AD8" s="2885">
        <f>ROUND(AVERAGE(I8:I$34)/100,4)</f>
        <v>1.8100000000000002E-2</v>
      </c>
      <c r="AE8" s="2885">
        <f>ROUND(AVERAGE(J8:J$34)/100,4)</f>
        <v>1.1900000000000001E-2</v>
      </c>
      <c r="AF8" s="2885">
        <f t="shared" ref="AF8" si="45">AE8</f>
        <v>1.1900000000000001E-2</v>
      </c>
      <c r="AG8" s="2885">
        <f>ROUND(AVERAGE(K8:K$34)/100,4)</f>
        <v>1.9900000000000001E-2</v>
      </c>
      <c r="AH8" s="2885">
        <f>ROUND(AVERAGE(L8:L$34)/100,4)</f>
        <v>1.2800000000000001E-2</v>
      </c>
    </row>
    <row r="9" spans="1:34" s="2903" customFormat="1">
      <c r="A9" s="2896" t="s">
        <v>2955</v>
      </c>
      <c r="B9" s="2897">
        <f t="shared" ref="B9" si="46">B10*(1+N9)</f>
        <v>481.4103506697644</v>
      </c>
      <c r="C9" s="2897">
        <f t="shared" ref="C9" si="47">C10*(1+O9)</f>
        <v>347.29066026648707</v>
      </c>
      <c r="D9" s="2897">
        <f t="shared" ref="D9" si="48">C9</f>
        <v>347.29066026648707</v>
      </c>
      <c r="E9" s="2897">
        <f t="shared" ref="E9" si="49">E10*(1+P9)</f>
        <v>690.85977273901995</v>
      </c>
      <c r="F9" s="2897">
        <f t="shared" ref="F9" si="50">F10*(1+Q9)</f>
        <v>319.13136737000184</v>
      </c>
      <c r="G9" s="2880">
        <v>2020</v>
      </c>
      <c r="H9" s="2898">
        <v>2</v>
      </c>
      <c r="I9" s="2860">
        <v>0.31</v>
      </c>
      <c r="J9" s="2860">
        <v>-0.78</v>
      </c>
      <c r="K9" s="2860">
        <v>0.5</v>
      </c>
      <c r="L9" s="2861">
        <v>0.47</v>
      </c>
      <c r="M9" s="2884"/>
      <c r="N9" s="2899">
        <f t="shared" ref="N9" si="51">I9/100</f>
        <v>3.0999999999999999E-3</v>
      </c>
      <c r="O9" s="2885">
        <f t="shared" ref="O9" si="52">J9/100</f>
        <v>-7.8000000000000005E-3</v>
      </c>
      <c r="P9" s="2885">
        <f t="shared" ref="P9" si="53">K9/100</f>
        <v>5.0000000000000001E-3</v>
      </c>
      <c r="Q9" s="2885">
        <f t="shared" ref="Q9" si="54">L9/100</f>
        <v>4.6999999999999993E-3</v>
      </c>
      <c r="R9" s="2900"/>
      <c r="S9" s="2901"/>
      <c r="T9" s="2902"/>
      <c r="U9" s="2902"/>
      <c r="V9" s="2902"/>
      <c r="W9" s="2884"/>
      <c r="X9" s="2884">
        <f>ROUND(SUMPRODUCT(PRODUCT(1+N9:N$34)),4)</f>
        <v>1.6117999999999999</v>
      </c>
      <c r="Y9" s="2884">
        <f>ROUND(SUMPRODUCT(PRODUCT(1+O9:O$34)),4)</f>
        <v>1.3788</v>
      </c>
      <c r="Z9" s="2884">
        <f t="shared" ref="Z9" si="55">Y9</f>
        <v>1.3788</v>
      </c>
      <c r="AA9" s="2884">
        <f>ROUND(SUMPRODUCT(PRODUCT(1+P9:P$34)),4)</f>
        <v>1.6872</v>
      </c>
      <c r="AB9" s="2884">
        <f>ROUND(SUMPRODUCT(PRODUCT(1+Q9:Q$34)),4)</f>
        <v>1.4069</v>
      </c>
      <c r="AC9" s="2884"/>
      <c r="AD9" s="2885">
        <f>ROUND(AVERAGE(I9:I$34)/100,4)</f>
        <v>1.8599999999999998E-2</v>
      </c>
      <c r="AE9" s="2885">
        <f>ROUND(AVERAGE(J9:J$34)/100,4)</f>
        <v>1.2500000000000001E-2</v>
      </c>
      <c r="AF9" s="2885">
        <f t="shared" ref="AF9" si="56">AE9</f>
        <v>1.2500000000000001E-2</v>
      </c>
      <c r="AG9" s="2885">
        <f>ROUND(AVERAGE(K9:K$34)/100,4)</f>
        <v>2.0400000000000001E-2</v>
      </c>
      <c r="AH9" s="2885">
        <f>ROUND(AVERAGE(L9:L$34)/100,4)</f>
        <v>1.32E-2</v>
      </c>
    </row>
    <row r="10" spans="1:34" s="2903" customFormat="1">
      <c r="A10" s="2896" t="s">
        <v>2953</v>
      </c>
      <c r="B10" s="2897">
        <f t="shared" ref="B10" si="57">B11*(1+N10)</f>
        <v>479.92259063878413</v>
      </c>
      <c r="C10" s="2897">
        <f t="shared" ref="C10" si="58">C11*(1+O10)</f>
        <v>350.02082268341775</v>
      </c>
      <c r="D10" s="2897">
        <f t="shared" ref="D10" si="59">C10</f>
        <v>350.02082268341775</v>
      </c>
      <c r="E10" s="2897">
        <f t="shared" ref="E10" si="60">E11*(1+P10)</f>
        <v>687.42265944181099</v>
      </c>
      <c r="F10" s="2897">
        <f t="shared" ref="F10" si="61">F11*(1+Q10)</f>
        <v>317.63846657708956</v>
      </c>
      <c r="G10" s="2880">
        <v>2020</v>
      </c>
      <c r="H10" s="2898">
        <v>1</v>
      </c>
      <c r="I10" s="2860">
        <v>0.12</v>
      </c>
      <c r="J10" s="2860">
        <v>-0.4</v>
      </c>
      <c r="K10" s="2860">
        <v>0.21</v>
      </c>
      <c r="L10" s="2861">
        <v>0.27</v>
      </c>
      <c r="M10" s="2884"/>
      <c r="N10" s="2899">
        <f t="shared" ref="N10" si="62">I10/100</f>
        <v>1.1999999999999999E-3</v>
      </c>
      <c r="O10" s="2885">
        <f t="shared" ref="O10" si="63">J10/100</f>
        <v>-4.0000000000000001E-3</v>
      </c>
      <c r="P10" s="2885">
        <f t="shared" ref="P10" si="64">K10/100</f>
        <v>2.0999999999999999E-3</v>
      </c>
      <c r="Q10" s="2885">
        <f t="shared" ref="Q10" si="65">L10/100</f>
        <v>2.7000000000000001E-3</v>
      </c>
      <c r="R10" s="2900"/>
      <c r="S10" s="2901">
        <f>B10/B11-1</f>
        <v>1.2000000000000899E-3</v>
      </c>
      <c r="T10" s="2902">
        <f>C10/C11-1</f>
        <v>-4.0000000000000036E-3</v>
      </c>
      <c r="U10" s="2902">
        <f>E10/E11-1</f>
        <v>2.0999999999999908E-3</v>
      </c>
      <c r="V10" s="2902">
        <f>F10/F11-1</f>
        <v>2.6999999999999247E-3</v>
      </c>
      <c r="W10" s="2884"/>
      <c r="X10" s="2884">
        <f>ROUND(SUMPRODUCT(PRODUCT(1+N10:N$34)),4)</f>
        <v>1.6068</v>
      </c>
      <c r="Y10" s="2884">
        <f>ROUND(SUMPRODUCT(PRODUCT(1+O10:O$34)),4)</f>
        <v>1.3895999999999999</v>
      </c>
      <c r="Z10" s="2884">
        <f t="shared" ref="Z10:Z33" si="66">Y10</f>
        <v>1.3895999999999999</v>
      </c>
      <c r="AA10" s="2884">
        <f>ROUND(SUMPRODUCT(PRODUCT(1+P10:P$34)),4)</f>
        <v>1.6788000000000001</v>
      </c>
      <c r="AB10" s="2884">
        <f>ROUND(SUMPRODUCT(PRODUCT(1+Q10:Q$34)),4)</f>
        <v>1.4004000000000001</v>
      </c>
      <c r="AC10" s="2884"/>
      <c r="AD10" s="2885">
        <f>ROUND(AVERAGE(I10:I$34)/100,4)</f>
        <v>1.9199999999999998E-2</v>
      </c>
      <c r="AE10" s="2885">
        <f>ROUND(AVERAGE(J10:J$34)/100,4)</f>
        <v>1.3299999999999999E-2</v>
      </c>
      <c r="AF10" s="2885">
        <f t="shared" ref="AF10" si="67">AE10</f>
        <v>1.3299999999999999E-2</v>
      </c>
      <c r="AG10" s="2885">
        <f>ROUND(AVERAGE(K10:K$34)/100,4)</f>
        <v>2.1100000000000001E-2</v>
      </c>
      <c r="AH10" s="2885">
        <f>ROUND(AVERAGE(L10:L$34)/100,4)</f>
        <v>1.3599999999999999E-2</v>
      </c>
    </row>
    <row r="11" spans="1:34" s="2903" customFormat="1">
      <c r="A11" s="2896" t="s">
        <v>2950</v>
      </c>
      <c r="B11" s="2897">
        <f t="shared" ref="B11" si="68">B12*(1+N11)</f>
        <v>479.34737379023579</v>
      </c>
      <c r="C11" s="2897">
        <f t="shared" ref="C11" si="69">C12*(1+O11)</f>
        <v>351.4265287986122</v>
      </c>
      <c r="D11" s="2897">
        <f t="shared" ref="D11" si="70">C11</f>
        <v>351.4265287986122</v>
      </c>
      <c r="E11" s="2897">
        <f t="shared" ref="E11" si="71">E12*(1+P11)</f>
        <v>685.98209703803116</v>
      </c>
      <c r="F11" s="2897">
        <f t="shared" ref="F11" si="72">F12*(1+Q11)</f>
        <v>316.78315206651001</v>
      </c>
      <c r="G11" s="2880">
        <v>2019</v>
      </c>
      <c r="H11" s="2898">
        <v>4</v>
      </c>
      <c r="I11" s="2898">
        <v>0.45</v>
      </c>
      <c r="J11" s="2898">
        <v>-0.12</v>
      </c>
      <c r="K11" s="2898">
        <v>0.54</v>
      </c>
      <c r="L11" s="2904">
        <v>0.48</v>
      </c>
      <c r="M11" s="2884"/>
      <c r="N11" s="2899">
        <f t="shared" ref="N11" si="73">I11/100</f>
        <v>4.5000000000000005E-3</v>
      </c>
      <c r="O11" s="2885">
        <f t="shared" ref="O11" si="74">J11/100</f>
        <v>-1.1999999999999999E-3</v>
      </c>
      <c r="P11" s="2885">
        <f t="shared" ref="P11" si="75">K11/100</f>
        <v>5.4000000000000003E-3</v>
      </c>
      <c r="Q11" s="2885">
        <f t="shared" ref="Q11" si="76">L11/100</f>
        <v>4.7999999999999996E-3</v>
      </c>
      <c r="R11" s="2900"/>
      <c r="S11" s="2901"/>
      <c r="T11" s="2902"/>
      <c r="U11" s="2902"/>
      <c r="V11" s="2902"/>
      <c r="W11" s="2884"/>
      <c r="X11" s="2884">
        <f>ROUND(SUMPRODUCT(PRODUCT(1+N11:N$34)),4)</f>
        <v>1.6049</v>
      </c>
      <c r="Y11" s="2884">
        <f>ROUND(SUMPRODUCT(PRODUCT(1+O11:O$34)),4)</f>
        <v>1.3952</v>
      </c>
      <c r="Z11" s="2884">
        <f t="shared" si="66"/>
        <v>1.3952</v>
      </c>
      <c r="AA11" s="2884">
        <f>ROUND(SUMPRODUCT(PRODUCT(1+P11:P$34)),4)</f>
        <v>1.6753</v>
      </c>
      <c r="AB11" s="2884">
        <f>ROUND(SUMPRODUCT(PRODUCT(1+Q11:Q$34)),4)</f>
        <v>1.3966000000000001</v>
      </c>
      <c r="AC11" s="2884"/>
      <c r="AD11" s="2885">
        <f>ROUND(AVERAGE(I11:I$34)/100,4)</f>
        <v>0.02</v>
      </c>
      <c r="AE11" s="2885">
        <f>ROUND(AVERAGE(J11:J$34)/100,4)</f>
        <v>1.4E-2</v>
      </c>
      <c r="AF11" s="2885">
        <f t="shared" ref="AF11" si="77">AE11</f>
        <v>1.4E-2</v>
      </c>
      <c r="AG11" s="2885">
        <f>ROUND(AVERAGE(K11:K$34)/100,4)</f>
        <v>2.1899999999999999E-2</v>
      </c>
      <c r="AH11" s="2885">
        <f>ROUND(AVERAGE(L11:L$34)/100,4)</f>
        <v>1.4E-2</v>
      </c>
    </row>
    <row r="12" spans="1:34" s="2903" customFormat="1" ht="13.5" thickBot="1">
      <c r="A12" s="2896" t="s">
        <v>2949</v>
      </c>
      <c r="B12" s="2897">
        <f t="shared" ref="B12" si="78">B13*(1+N12)</f>
        <v>477.19997390765138</v>
      </c>
      <c r="C12" s="2897">
        <f t="shared" ref="C12" si="79">C13*(1+O12)</f>
        <v>351.84874729536665</v>
      </c>
      <c r="D12" s="2897">
        <f t="shared" ref="D12" si="80">C12</f>
        <v>351.84874729536665</v>
      </c>
      <c r="E12" s="2897">
        <f t="shared" ref="E12" si="81">E13*(1+P12)</f>
        <v>682.29768951465201</v>
      </c>
      <c r="F12" s="2897">
        <f t="shared" ref="F12" si="82">F13*(1+Q12)</f>
        <v>315.26985675409043</v>
      </c>
      <c r="G12" s="2880">
        <v>2019</v>
      </c>
      <c r="H12" s="2898">
        <v>3</v>
      </c>
      <c r="I12" s="2898">
        <v>0.61</v>
      </c>
      <c r="J12" s="2898">
        <v>0.67</v>
      </c>
      <c r="K12" s="2898">
        <v>0.6</v>
      </c>
      <c r="L12" s="2904">
        <v>1.03</v>
      </c>
      <c r="M12" s="2884"/>
      <c r="N12" s="2899">
        <f t="shared" ref="N12" si="83">I12/100</f>
        <v>6.0999999999999995E-3</v>
      </c>
      <c r="O12" s="2885">
        <f t="shared" ref="O12" si="84">J12/100</f>
        <v>6.7000000000000002E-3</v>
      </c>
      <c r="P12" s="2885">
        <f t="shared" ref="P12" si="85">K12/100</f>
        <v>6.0000000000000001E-3</v>
      </c>
      <c r="Q12" s="2885">
        <f t="shared" ref="Q12" si="86">L12/100</f>
        <v>1.03E-2</v>
      </c>
      <c r="R12" s="2900"/>
      <c r="S12" s="2901"/>
      <c r="T12" s="2902"/>
      <c r="U12" s="2902"/>
      <c r="V12" s="2902"/>
      <c r="W12" s="2884"/>
      <c r="X12" s="2884">
        <f>ROUND(SUMPRODUCT(PRODUCT(1+N12:N$34)),4)</f>
        <v>1.5976999999999999</v>
      </c>
      <c r="Y12" s="2884">
        <f>ROUND(SUMPRODUCT(PRODUCT(1+O12:O$34)),4)</f>
        <v>1.3969</v>
      </c>
      <c r="Z12" s="2884">
        <f t="shared" si="66"/>
        <v>1.3969</v>
      </c>
      <c r="AA12" s="2884">
        <f>ROUND(SUMPRODUCT(PRODUCT(1+P12:P$34)),4)</f>
        <v>1.6662999999999999</v>
      </c>
      <c r="AB12" s="2884">
        <f>ROUND(SUMPRODUCT(PRODUCT(1+Q12:Q$34)),4)</f>
        <v>1.3898999999999999</v>
      </c>
      <c r="AC12" s="2884"/>
      <c r="AD12" s="2885">
        <f>ROUND(AVERAGE(I12:I$34)/100,4)</f>
        <v>2.07E-2</v>
      </c>
      <c r="AE12" s="2885">
        <f>ROUND(AVERAGE(J12:J$34)/100,4)</f>
        <v>1.47E-2</v>
      </c>
      <c r="AF12" s="2885">
        <f t="shared" ref="AF12" si="87">AE12</f>
        <v>1.47E-2</v>
      </c>
      <c r="AG12" s="2885">
        <f>ROUND(AVERAGE(K12:K$34)/100,4)</f>
        <v>2.2599999999999999E-2</v>
      </c>
      <c r="AH12" s="2885">
        <f>ROUND(AVERAGE(L12:L$34)/100,4)</f>
        <v>1.44E-2</v>
      </c>
    </row>
    <row r="13" spans="1:34" s="2903" customFormat="1">
      <c r="A13" s="2896" t="s">
        <v>2948</v>
      </c>
      <c r="B13" s="2897">
        <f t="shared" ref="B13:B18" si="88">B14*(1+N13)</f>
        <v>474.30670301923408</v>
      </c>
      <c r="C13" s="2897">
        <f t="shared" ref="C13" si="89">C14*(1+O13)</f>
        <v>349.50705005996491</v>
      </c>
      <c r="D13" s="2897">
        <f t="shared" ref="D13" si="90">C13</f>
        <v>349.50705005996491</v>
      </c>
      <c r="E13" s="2897">
        <f t="shared" ref="E13" si="91">E14*(1+P13)</f>
        <v>678.22831959706957</v>
      </c>
      <c r="F13" s="2897">
        <f t="shared" ref="F13" si="92">F14*(1+Q13)</f>
        <v>312.0556832169558</v>
      </c>
      <c r="G13" s="2880">
        <v>2019</v>
      </c>
      <c r="H13" s="2905">
        <v>2</v>
      </c>
      <c r="I13" s="2905">
        <v>1.53</v>
      </c>
      <c r="J13" s="2905">
        <v>1.01</v>
      </c>
      <c r="K13" s="2905">
        <v>1.62</v>
      </c>
      <c r="L13" s="2906">
        <v>1.25</v>
      </c>
      <c r="M13" s="2884"/>
      <c r="N13" s="2899">
        <f t="shared" ref="N13" si="93">I13/100</f>
        <v>1.5300000000000001E-2</v>
      </c>
      <c r="O13" s="2885">
        <f t="shared" ref="O13" si="94">J13/100</f>
        <v>1.01E-2</v>
      </c>
      <c r="P13" s="2885">
        <f t="shared" ref="P13" si="95">K13/100</f>
        <v>1.6200000000000003E-2</v>
      </c>
      <c r="Q13" s="2885">
        <f t="shared" ref="Q13" si="96">L13/100</f>
        <v>1.2500000000000001E-2</v>
      </c>
      <c r="R13" s="2900"/>
      <c r="S13" s="2901"/>
      <c r="T13" s="2902"/>
      <c r="U13" s="2902"/>
      <c r="V13" s="2902"/>
      <c r="W13" s="2884"/>
      <c r="X13" s="2884">
        <f>ROUND(SUMPRODUCT(PRODUCT(1+N13:N$34)),4)</f>
        <v>1.5880000000000001</v>
      </c>
      <c r="Y13" s="2884">
        <f>ROUND(SUMPRODUCT(PRODUCT(1+O13:O$34)),4)</f>
        <v>1.3875999999999999</v>
      </c>
      <c r="Z13" s="2884">
        <f t="shared" si="66"/>
        <v>1.3875999999999999</v>
      </c>
      <c r="AA13" s="2884">
        <f>ROUND(SUMPRODUCT(PRODUCT(1+P13:P$34)),4)</f>
        <v>1.6563000000000001</v>
      </c>
      <c r="AB13" s="2884">
        <f>ROUND(SUMPRODUCT(PRODUCT(1+Q13:Q$34)),4)</f>
        <v>1.3756999999999999</v>
      </c>
      <c r="AC13" s="2884"/>
      <c r="AD13" s="2885">
        <f>ROUND(AVERAGE(I13:I$34)/100,4)</f>
        <v>2.1299999999999999E-2</v>
      </c>
      <c r="AE13" s="2885">
        <f>ROUND(AVERAGE(J13:J$34)/100,4)</f>
        <v>1.4999999999999999E-2</v>
      </c>
      <c r="AF13" s="2885">
        <f t="shared" ref="AF13" si="97">AE13</f>
        <v>1.4999999999999999E-2</v>
      </c>
      <c r="AG13" s="2885">
        <f>ROUND(AVERAGE(K13:K$34)/100,4)</f>
        <v>2.3300000000000001E-2</v>
      </c>
      <c r="AH13" s="2885">
        <f>ROUND(AVERAGE(L13:L$34)/100,4)</f>
        <v>1.46E-2</v>
      </c>
    </row>
    <row r="14" spans="1:34" s="2903" customFormat="1" ht="13.5" thickBot="1">
      <c r="A14" s="2896" t="s">
        <v>2947</v>
      </c>
      <c r="B14" s="2897">
        <f t="shared" si="88"/>
        <v>467.15916775261894</v>
      </c>
      <c r="C14" s="2897">
        <f t="shared" ref="C14" si="98">C15*(1+O14)</f>
        <v>346.01232557169084</v>
      </c>
      <c r="D14" s="2897">
        <f t="shared" ref="D14" si="99">C14</f>
        <v>346.01232557169084</v>
      </c>
      <c r="E14" s="2897">
        <f t="shared" ref="E14" si="100">E15*(1+P14)</f>
        <v>667.41617752122568</v>
      </c>
      <c r="F14" s="2897">
        <f t="shared" ref="F14" si="101">F15*(1+Q14)</f>
        <v>308.20314391798104</v>
      </c>
      <c r="G14" s="2880">
        <v>2019</v>
      </c>
      <c r="H14" s="2898">
        <v>1</v>
      </c>
      <c r="I14" s="2898">
        <v>0.6</v>
      </c>
      <c r="J14" s="2898">
        <v>0.37</v>
      </c>
      <c r="K14" s="2898">
        <v>0.63</v>
      </c>
      <c r="L14" s="2904">
        <v>1.1299999999999999</v>
      </c>
      <c r="M14" s="2884"/>
      <c r="N14" s="2899">
        <f t="shared" ref="N14" si="102">I14/100</f>
        <v>6.0000000000000001E-3</v>
      </c>
      <c r="O14" s="2885">
        <f t="shared" ref="O14" si="103">J14/100</f>
        <v>3.7000000000000002E-3</v>
      </c>
      <c r="P14" s="2885">
        <f t="shared" ref="P14" si="104">K14/100</f>
        <v>6.3E-3</v>
      </c>
      <c r="Q14" s="2885">
        <f t="shared" ref="Q14" si="105">L14/100</f>
        <v>1.1299999999999999E-2</v>
      </c>
      <c r="R14" s="2900"/>
      <c r="S14" s="2901">
        <f>B14/B15-1</f>
        <v>6.0000000000000053E-3</v>
      </c>
      <c r="T14" s="2902">
        <f>C14/C15-1</f>
        <v>3.7000000000000366E-3</v>
      </c>
      <c r="U14" s="2902">
        <f>E14/E15-1</f>
        <v>6.2999999999999723E-3</v>
      </c>
      <c r="V14" s="2902">
        <f>F14/F15-1</f>
        <v>1.1300000000000088E-2</v>
      </c>
      <c r="W14" s="2884"/>
      <c r="X14" s="2884">
        <f>ROUND(SUMPRODUCT(PRODUCT(1+N14:N$34)),4)</f>
        <v>1.5641</v>
      </c>
      <c r="Y14" s="2884">
        <f>ROUND(SUMPRODUCT(PRODUCT(1+O14:O$34)),4)</f>
        <v>1.3736999999999999</v>
      </c>
      <c r="Z14" s="2884">
        <f t="shared" si="66"/>
        <v>1.3736999999999999</v>
      </c>
      <c r="AA14" s="2884">
        <f>ROUND(SUMPRODUCT(PRODUCT(1+P14:P$34)),4)</f>
        <v>1.6298999999999999</v>
      </c>
      <c r="AB14" s="2884">
        <f>ROUND(SUMPRODUCT(PRODUCT(1+Q14:Q$34)),4)</f>
        <v>1.3588</v>
      </c>
      <c r="AC14" s="2884"/>
      <c r="AD14" s="2885">
        <f>ROUND(AVERAGE(I14:I$34)/100,4)</f>
        <v>2.1600000000000001E-2</v>
      </c>
      <c r="AE14" s="2885">
        <f>ROUND(AVERAGE(J14:J$34)/100,4)</f>
        <v>1.5299999999999999E-2</v>
      </c>
      <c r="AF14" s="2885">
        <f t="shared" ref="AF14" si="106">AE14</f>
        <v>1.5299999999999999E-2</v>
      </c>
      <c r="AG14" s="2885">
        <f>ROUND(AVERAGE(K14:K$34)/100,4)</f>
        <v>2.3699999999999999E-2</v>
      </c>
      <c r="AH14" s="2885">
        <f>ROUND(AVERAGE(L14:L$34)/100,4)</f>
        <v>1.47E-2</v>
      </c>
    </row>
    <row r="15" spans="1:34" s="2903" customFormat="1">
      <c r="A15" s="2896" t="s">
        <v>2945</v>
      </c>
      <c r="B15" s="2907">
        <f t="shared" si="88"/>
        <v>464.37293017158942</v>
      </c>
      <c r="C15" s="2907">
        <f t="shared" ref="C15" si="107">C16*(1+O15)</f>
        <v>344.73679941385956</v>
      </c>
      <c r="D15" s="2907">
        <f t="shared" ref="D15" si="108">C15</f>
        <v>344.73679941385956</v>
      </c>
      <c r="E15" s="2907">
        <f t="shared" ref="E15" si="109">E16*(1+P15)</f>
        <v>663.2377795103107</v>
      </c>
      <c r="F15" s="2908">
        <f t="shared" ref="F15" si="110">F16*(1+Q15)</f>
        <v>304.75936311478398</v>
      </c>
      <c r="G15" s="3655">
        <v>2018</v>
      </c>
      <c r="H15" s="2905">
        <v>4</v>
      </c>
      <c r="I15" s="2905">
        <v>0.96</v>
      </c>
      <c r="J15" s="2905">
        <v>1.03</v>
      </c>
      <c r="K15" s="2905">
        <v>0.92</v>
      </c>
      <c r="L15" s="2906">
        <v>1.29</v>
      </c>
      <c r="M15" s="2884"/>
      <c r="N15" s="2899">
        <f t="shared" ref="N15" si="111">I15/100</f>
        <v>9.5999999999999992E-3</v>
      </c>
      <c r="O15" s="2885">
        <f t="shared" ref="O15" si="112">J15/100</f>
        <v>1.03E-2</v>
      </c>
      <c r="P15" s="2885">
        <f t="shared" ref="P15" si="113">K15/100</f>
        <v>9.1999999999999998E-3</v>
      </c>
      <c r="Q15" s="2885">
        <f t="shared" ref="Q15" si="114">L15/100</f>
        <v>1.29E-2</v>
      </c>
      <c r="R15" s="2900"/>
      <c r="S15" s="2909"/>
      <c r="T15" s="2910"/>
      <c r="U15" s="2910"/>
      <c r="V15" s="2910"/>
      <c r="W15" s="2884"/>
      <c r="X15" s="2884">
        <f>ROUND(SUMPRODUCT(PRODUCT(1+N15:N$34)),4)</f>
        <v>1.5548</v>
      </c>
      <c r="Y15" s="2884">
        <f>ROUND(SUMPRODUCT(PRODUCT(1+O15:O$34)),4)</f>
        <v>1.3686</v>
      </c>
      <c r="Z15" s="2884">
        <f t="shared" si="66"/>
        <v>1.3686</v>
      </c>
      <c r="AA15" s="2884">
        <f>ROUND(SUMPRODUCT(PRODUCT(1+P15:P$34)),4)</f>
        <v>1.6196999999999999</v>
      </c>
      <c r="AB15" s="2884">
        <f>ROUND(SUMPRODUCT(PRODUCT(1+Q15:Q$34)),4)</f>
        <v>1.3435999999999999</v>
      </c>
      <c r="AC15" s="2884"/>
      <c r="AD15" s="2885">
        <f>ROUND(AVERAGE(I15:I$34)/100,4)</f>
        <v>2.24E-2</v>
      </c>
      <c r="AE15" s="2885">
        <f>ROUND(AVERAGE(J15:J$34)/100,4)</f>
        <v>1.5800000000000002E-2</v>
      </c>
      <c r="AF15" s="2885">
        <f t="shared" ref="AF15" si="115">AE15</f>
        <v>1.5800000000000002E-2</v>
      </c>
      <c r="AG15" s="2885">
        <f>ROUND(AVERAGE(K15:K$34)/100,4)</f>
        <v>2.4500000000000001E-2</v>
      </c>
      <c r="AH15" s="2885">
        <f>ROUND(AVERAGE(L15:L$34)/100,4)</f>
        <v>1.49E-2</v>
      </c>
    </row>
    <row r="16" spans="1:34" s="2903" customFormat="1" ht="14.45" customHeight="1">
      <c r="A16" s="2896" t="s">
        <v>2938</v>
      </c>
      <c r="B16" s="2897">
        <f t="shared" si="88"/>
        <v>459.95733971036987</v>
      </c>
      <c r="C16" s="2897">
        <f t="shared" ref="C16" si="116">C17*(1+O16)</f>
        <v>341.22221064422405</v>
      </c>
      <c r="D16" s="2897">
        <f t="shared" ref="D16" si="117">C16</f>
        <v>341.22221064422405</v>
      </c>
      <c r="E16" s="2897">
        <f t="shared" ref="E16" si="118">E17*(1+P16)</f>
        <v>657.19161663724799</v>
      </c>
      <c r="F16" s="2897">
        <f t="shared" ref="F16" si="119">F17*(1+Q16)</f>
        <v>300.87803644464805</v>
      </c>
      <c r="G16" s="3655"/>
      <c r="H16" s="2898">
        <v>3</v>
      </c>
      <c r="I16" s="2898">
        <v>1.51</v>
      </c>
      <c r="J16" s="2898">
        <v>1.41</v>
      </c>
      <c r="K16" s="2898">
        <v>1.52</v>
      </c>
      <c r="L16" s="2904">
        <v>1.74</v>
      </c>
      <c r="M16" s="2884"/>
      <c r="N16" s="2899">
        <f t="shared" ref="N16" si="120">I16/100</f>
        <v>1.5100000000000001E-2</v>
      </c>
      <c r="O16" s="2885">
        <f t="shared" ref="O16" si="121">J16/100</f>
        <v>1.41E-2</v>
      </c>
      <c r="P16" s="2885">
        <f t="shared" ref="P16" si="122">K16/100</f>
        <v>1.52E-2</v>
      </c>
      <c r="Q16" s="2885">
        <f t="shared" ref="Q16" si="123">L16/100</f>
        <v>1.7399999999999999E-2</v>
      </c>
      <c r="R16" s="2900"/>
      <c r="S16" s="2899"/>
      <c r="T16" s="2885"/>
      <c r="U16" s="2885"/>
      <c r="V16" s="2885"/>
      <c r="W16" s="2884"/>
      <c r="X16" s="2884">
        <f>ROUND(SUMPRODUCT(PRODUCT(1+N16:N$34)),4)</f>
        <v>1.54</v>
      </c>
      <c r="Y16" s="2884">
        <f>ROUND(SUMPRODUCT(PRODUCT(1+O16:O$34)),4)</f>
        <v>1.3547</v>
      </c>
      <c r="Z16" s="2884">
        <f t="shared" si="66"/>
        <v>1.3547</v>
      </c>
      <c r="AA16" s="2884">
        <f>ROUND(SUMPRODUCT(PRODUCT(1+P16:P$34)),4)</f>
        <v>1.605</v>
      </c>
      <c r="AB16" s="2884">
        <f>ROUND(SUMPRODUCT(PRODUCT(1+Q16:Q$34)),4)</f>
        <v>1.3265</v>
      </c>
      <c r="AC16" s="2884"/>
      <c r="AD16" s="2885">
        <f>ROUND(AVERAGE(I16:I$34)/100,4)</f>
        <v>2.3099999999999999E-2</v>
      </c>
      <c r="AE16" s="2885">
        <f>ROUND(AVERAGE(J16:J$34)/100,4)</f>
        <v>1.61E-2</v>
      </c>
      <c r="AF16" s="2885">
        <f t="shared" ref="AF16" si="124">AE16</f>
        <v>1.61E-2</v>
      </c>
      <c r="AG16" s="2885">
        <f>ROUND(AVERAGE(K16:K$34)/100,4)</f>
        <v>2.53E-2</v>
      </c>
      <c r="AH16" s="2885">
        <f>ROUND(AVERAGE(L16:L$34)/100,4)</f>
        <v>1.4999999999999999E-2</v>
      </c>
    </row>
    <row r="17" spans="1:34" s="2903" customFormat="1" ht="14.45" customHeight="1">
      <c r="A17" s="2896" t="s">
        <v>2939</v>
      </c>
      <c r="B17" s="2897">
        <f t="shared" si="88"/>
        <v>453.11529869999993</v>
      </c>
      <c r="C17" s="2897">
        <f t="shared" ref="C17" si="125">C18*(1+O17)</f>
        <v>336.47787264000004</v>
      </c>
      <c r="D17" s="2897">
        <f t="shared" ref="D17" si="126">C17</f>
        <v>336.47787264000004</v>
      </c>
      <c r="E17" s="2897">
        <f t="shared" ref="E17" si="127">E18*(1+P17)</f>
        <v>647.35186823999993</v>
      </c>
      <c r="F17" s="2897">
        <f t="shared" ref="F17" si="128">F18*(1+Q17)</f>
        <v>295.73229452000004</v>
      </c>
      <c r="G17" s="3655"/>
      <c r="H17" s="2911">
        <v>2</v>
      </c>
      <c r="I17" s="2911">
        <v>1.49</v>
      </c>
      <c r="J17" s="2911">
        <v>0.96</v>
      </c>
      <c r="K17" s="2911">
        <v>1.58</v>
      </c>
      <c r="L17" s="2912">
        <v>2.44</v>
      </c>
      <c r="M17" s="2884"/>
      <c r="N17" s="2899">
        <f t="shared" ref="N17" si="129">I17/100</f>
        <v>1.49E-2</v>
      </c>
      <c r="O17" s="2885">
        <f t="shared" ref="O17" si="130">J17/100</f>
        <v>9.5999999999999992E-3</v>
      </c>
      <c r="P17" s="2885">
        <f t="shared" ref="P17" si="131">K17/100</f>
        <v>1.5800000000000002E-2</v>
      </c>
      <c r="Q17" s="2885">
        <f t="shared" ref="Q17" si="132">L17/100</f>
        <v>2.4399999999999998E-2</v>
      </c>
      <c r="R17" s="2900"/>
      <c r="S17" s="2899"/>
      <c r="T17" s="2885"/>
      <c r="U17" s="2885"/>
      <c r="V17" s="2885"/>
      <c r="W17" s="2884"/>
      <c r="X17" s="2884">
        <f>ROUND(SUMPRODUCT(PRODUCT(1+N17:N$34)),4)</f>
        <v>1.5170999999999999</v>
      </c>
      <c r="Y17" s="2884">
        <f>ROUND(SUMPRODUCT(PRODUCT(1+O17:O$34)),4)</f>
        <v>1.3358000000000001</v>
      </c>
      <c r="Z17" s="2884">
        <f t="shared" si="66"/>
        <v>1.3358000000000001</v>
      </c>
      <c r="AA17" s="2884">
        <f>ROUND(SUMPRODUCT(PRODUCT(1+P17:P$34)),4)</f>
        <v>1.5809</v>
      </c>
      <c r="AB17" s="2884">
        <f>ROUND(SUMPRODUCT(PRODUCT(1+Q17:Q$34)),4)</f>
        <v>1.3038000000000001</v>
      </c>
      <c r="AC17" s="2884"/>
      <c r="AD17" s="2885">
        <f>ROUND(AVERAGE(I17:I$34)/100,4)</f>
        <v>2.35E-2</v>
      </c>
      <c r="AE17" s="2885">
        <f>ROUND(AVERAGE(J17:J$34)/100,4)</f>
        <v>1.6199999999999999E-2</v>
      </c>
      <c r="AF17" s="2885">
        <f t="shared" ref="AF17" si="133">AE17</f>
        <v>1.6199999999999999E-2</v>
      </c>
      <c r="AG17" s="2885">
        <f>ROUND(AVERAGE(K17:K$34)/100,4)</f>
        <v>2.5899999999999999E-2</v>
      </c>
      <c r="AH17" s="2885">
        <f>ROUND(AVERAGE(L17:L$34)/100,4)</f>
        <v>1.49E-2</v>
      </c>
    </row>
    <row r="18" spans="1:34" s="2903" customFormat="1" ht="15" customHeight="1" thickBot="1">
      <c r="A18" s="2896" t="s">
        <v>2935</v>
      </c>
      <c r="B18" s="2897">
        <f t="shared" si="88"/>
        <v>446.46299999999997</v>
      </c>
      <c r="C18" s="2897">
        <f t="shared" ref="C18" si="134">C19*(1+O18)</f>
        <v>333.27840000000003</v>
      </c>
      <c r="D18" s="2897">
        <f t="shared" ref="D18:D23" si="135">C18</f>
        <v>333.27840000000003</v>
      </c>
      <c r="E18" s="2897">
        <f t="shared" ref="E18" si="136">E19*(1+P18)</f>
        <v>637.28279999999995</v>
      </c>
      <c r="F18" s="2897">
        <f t="shared" ref="F18" si="137">F19*(1+Q18)</f>
        <v>288.68830000000003</v>
      </c>
      <c r="G18" s="3656"/>
      <c r="H18" s="2898">
        <v>1</v>
      </c>
      <c r="I18" s="2898">
        <v>1.7</v>
      </c>
      <c r="J18" s="2898">
        <v>1.92</v>
      </c>
      <c r="K18" s="2898">
        <v>1.64</v>
      </c>
      <c r="L18" s="2904">
        <v>2.0099999999999998</v>
      </c>
      <c r="M18" s="2884"/>
      <c r="N18" s="2899">
        <f t="shared" ref="N18:N23" si="138">I18/100</f>
        <v>1.7000000000000001E-2</v>
      </c>
      <c r="O18" s="2885">
        <f t="shared" ref="O18" si="139">J18/100</f>
        <v>1.9199999999999998E-2</v>
      </c>
      <c r="P18" s="2885">
        <f t="shared" ref="P18" si="140">K18/100</f>
        <v>1.6399999999999998E-2</v>
      </c>
      <c r="Q18" s="2885">
        <f t="shared" ref="Q18" si="141">L18/100</f>
        <v>2.0099999999999996E-2</v>
      </c>
      <c r="R18" s="2900"/>
      <c r="S18" s="2901">
        <f>B18/B19-1</f>
        <v>1.6999999999999904E-2</v>
      </c>
      <c r="T18" s="2902">
        <f>C18/C19-1</f>
        <v>1.9200000000000106E-2</v>
      </c>
      <c r="U18" s="2902">
        <f>E18/E19-1</f>
        <v>1.639999999999997E-2</v>
      </c>
      <c r="V18" s="2902">
        <f>F18/F19-1</f>
        <v>2.0100000000000007E-2</v>
      </c>
      <c r="W18" s="2884"/>
      <c r="X18" s="2884">
        <f>ROUND(SUMPRODUCT(PRODUCT(1+N18:N$34)),4)</f>
        <v>1.4947999999999999</v>
      </c>
      <c r="Y18" s="2884">
        <f>ROUND(SUMPRODUCT(PRODUCT(1+O18:O$34)),4)</f>
        <v>1.3230999999999999</v>
      </c>
      <c r="Z18" s="2884">
        <f t="shared" si="66"/>
        <v>1.3230999999999999</v>
      </c>
      <c r="AA18" s="2884">
        <f>ROUND(SUMPRODUCT(PRODUCT(1+P18:P$34)),4)</f>
        <v>1.5564</v>
      </c>
      <c r="AB18" s="2884">
        <f>ROUND(SUMPRODUCT(PRODUCT(1+Q18:Q$34)),4)</f>
        <v>1.2726999999999999</v>
      </c>
      <c r="AC18" s="2884"/>
      <c r="AD18" s="2885">
        <f>ROUND(AVERAGE(I18:I$34)/100,4)</f>
        <v>2.4E-2</v>
      </c>
      <c r="AE18" s="2885">
        <f>ROUND(AVERAGE(J18:J$34)/100,4)</f>
        <v>1.66E-2</v>
      </c>
      <c r="AF18" s="2885">
        <f t="shared" ref="AF18" si="142">AE18</f>
        <v>1.66E-2</v>
      </c>
      <c r="AG18" s="2885">
        <f>ROUND(AVERAGE(K18:K$34)/100,4)</f>
        <v>2.6499999999999999E-2</v>
      </c>
      <c r="AH18" s="2885">
        <f>ROUND(AVERAGE(L18:L$34)/100,4)</f>
        <v>1.43E-2</v>
      </c>
    </row>
    <row r="19" spans="1:34">
      <c r="A19" s="2896" t="s">
        <v>2927</v>
      </c>
      <c r="B19" s="2913">
        <v>439</v>
      </c>
      <c r="C19" s="2913">
        <v>327</v>
      </c>
      <c r="D19" s="2913">
        <f t="shared" si="135"/>
        <v>327</v>
      </c>
      <c r="E19" s="2913">
        <v>627</v>
      </c>
      <c r="F19" s="2914">
        <v>283</v>
      </c>
      <c r="G19" s="3654">
        <v>2017</v>
      </c>
      <c r="H19" s="2905">
        <v>4</v>
      </c>
      <c r="I19" s="2905">
        <v>1.71</v>
      </c>
      <c r="J19" s="2905">
        <v>1.78</v>
      </c>
      <c r="K19" s="2905">
        <v>1.71</v>
      </c>
      <c r="L19" s="2906">
        <v>1.43</v>
      </c>
      <c r="N19" s="2915">
        <f t="shared" si="138"/>
        <v>1.7100000000000001E-2</v>
      </c>
      <c r="O19" s="2916">
        <f t="shared" ref="O19" si="143">J19/100</f>
        <v>1.78E-2</v>
      </c>
      <c r="P19" s="2916">
        <f t="shared" ref="P19" si="144">K19/100</f>
        <v>1.7100000000000001E-2</v>
      </c>
      <c r="Q19" s="2916">
        <f t="shared" ref="Q19" si="145">L19/100</f>
        <v>1.43E-2</v>
      </c>
      <c r="R19" s="2900"/>
      <c r="S19" s="2909"/>
      <c r="T19" s="2910"/>
      <c r="U19" s="2910"/>
      <c r="V19" s="2910"/>
      <c r="X19" s="2884">
        <f>ROUND(SUMPRODUCT(PRODUCT(1+N19:N$34)),4)</f>
        <v>1.4698</v>
      </c>
      <c r="Y19" s="2884">
        <f>ROUND(SUMPRODUCT(PRODUCT(1+O19:O$34)),4)</f>
        <v>1.2982</v>
      </c>
      <c r="Z19" s="2884">
        <f t="shared" si="66"/>
        <v>1.2982</v>
      </c>
      <c r="AA19" s="2884">
        <f>ROUND(SUMPRODUCT(PRODUCT(1+P19:P$34)),4)</f>
        <v>1.5311999999999999</v>
      </c>
      <c r="AB19" s="2884">
        <f>ROUND(SUMPRODUCT(PRODUCT(1+Q19:Q$34)),4)</f>
        <v>1.2476</v>
      </c>
      <c r="AD19" s="2885">
        <f>ROUND(AVERAGE(I19:I$34)/100,4)</f>
        <v>2.4500000000000001E-2</v>
      </c>
      <c r="AE19" s="2885">
        <f>ROUND(AVERAGE(J19:J$34)/100,4)</f>
        <v>1.6500000000000001E-2</v>
      </c>
      <c r="AF19" s="2885">
        <f t="shared" si="1"/>
        <v>1.6500000000000001E-2</v>
      </c>
      <c r="AG19" s="2885">
        <f>ROUND(AVERAGE(K19:K$34)/100,4)</f>
        <v>2.7099999999999999E-2</v>
      </c>
      <c r="AH19" s="2885">
        <f>ROUND(AVERAGE(L19:L$34)/100,4)</f>
        <v>1.3899999999999999E-2</v>
      </c>
    </row>
    <row r="20" spans="1:34" s="2903" customFormat="1" ht="14.45" customHeight="1">
      <c r="A20" s="2896" t="s">
        <v>2930</v>
      </c>
      <c r="B20" s="2897">
        <f t="shared" ref="B20:C22" si="146">B21*(1+N20)</f>
        <v>431.80730811680002</v>
      </c>
      <c r="C20" s="2897">
        <f t="shared" si="146"/>
        <v>320.57880516480003</v>
      </c>
      <c r="D20" s="2897">
        <f t="shared" si="135"/>
        <v>320.57880516480003</v>
      </c>
      <c r="E20" s="2897">
        <f t="shared" ref="E20:F22" si="147">E21*(1+P20)</f>
        <v>615.96110553196797</v>
      </c>
      <c r="F20" s="2897">
        <f t="shared" si="147"/>
        <v>279.46777300108801</v>
      </c>
      <c r="G20" s="3655"/>
      <c r="H20" s="2898">
        <v>3</v>
      </c>
      <c r="I20" s="2898">
        <v>2.98</v>
      </c>
      <c r="J20" s="2898">
        <v>2.11</v>
      </c>
      <c r="K20" s="2898">
        <v>3.24</v>
      </c>
      <c r="L20" s="2904">
        <v>1.72</v>
      </c>
      <c r="M20" s="2884"/>
      <c r="N20" s="2899">
        <f t="shared" si="138"/>
        <v>2.98E-2</v>
      </c>
      <c r="O20" s="2917">
        <f t="shared" ref="O20:O21" si="148">J20/100</f>
        <v>2.1099999999999997E-2</v>
      </c>
      <c r="P20" s="2917">
        <f t="shared" ref="P20:P21" si="149">K20/100</f>
        <v>3.2400000000000005E-2</v>
      </c>
      <c r="Q20" s="2917">
        <f t="shared" ref="Q20:Q21" si="150">L20/100</f>
        <v>1.72E-2</v>
      </c>
      <c r="R20" s="2900"/>
      <c r="S20" s="2899"/>
      <c r="T20" s="2885"/>
      <c r="U20" s="2885"/>
      <c r="V20" s="2885"/>
      <c r="W20" s="2884"/>
      <c r="X20" s="2884">
        <f>ROUND(SUMPRODUCT(PRODUCT(1+N20:N$34)),4)</f>
        <v>1.4451000000000001</v>
      </c>
      <c r="Y20" s="2884">
        <f>ROUND(SUMPRODUCT(PRODUCT(1+O20:O$34)),4)</f>
        <v>1.2755000000000001</v>
      </c>
      <c r="Z20" s="2884">
        <f t="shared" si="66"/>
        <v>1.2755000000000001</v>
      </c>
      <c r="AA20" s="2884">
        <f>ROUND(SUMPRODUCT(PRODUCT(1+P20:P$34)),4)</f>
        <v>1.5055000000000001</v>
      </c>
      <c r="AB20" s="2884">
        <f>ROUND(SUMPRODUCT(PRODUCT(1+Q20:Q$34)),4)</f>
        <v>1.2301</v>
      </c>
      <c r="AC20" s="2884"/>
      <c r="AD20" s="2885">
        <f>ROUND(AVERAGE(I20:I$34)/100,4)</f>
        <v>2.4899999999999999E-2</v>
      </c>
      <c r="AE20" s="2885">
        <f>ROUND(AVERAGE(J20:J$34)/100,4)</f>
        <v>1.6400000000000001E-2</v>
      </c>
      <c r="AF20" s="2885">
        <f t="shared" si="1"/>
        <v>1.6400000000000001E-2</v>
      </c>
      <c r="AG20" s="2885">
        <f>ROUND(AVERAGE(K20:K$34)/100,4)</f>
        <v>2.7799999999999998E-2</v>
      </c>
      <c r="AH20" s="2885">
        <f>ROUND(AVERAGE(L20:L$34)/100,4)</f>
        <v>1.3899999999999999E-2</v>
      </c>
    </row>
    <row r="21" spans="1:34" s="2862" customFormat="1" ht="14.45" customHeight="1">
      <c r="A21" s="2896" t="s">
        <v>2559</v>
      </c>
      <c r="B21" s="2897">
        <f t="shared" si="146"/>
        <v>419.31181600000002</v>
      </c>
      <c r="C21" s="2897">
        <f t="shared" si="146"/>
        <v>313.95436800000004</v>
      </c>
      <c r="D21" s="2897">
        <f t="shared" si="135"/>
        <v>313.95436800000004</v>
      </c>
      <c r="E21" s="2897">
        <f t="shared" si="147"/>
        <v>596.63028431999999</v>
      </c>
      <c r="F21" s="2897">
        <f t="shared" si="147"/>
        <v>274.74220703999998</v>
      </c>
      <c r="G21" s="3655"/>
      <c r="H21" s="2911">
        <v>2</v>
      </c>
      <c r="I21" s="2911">
        <v>3.4</v>
      </c>
      <c r="J21" s="2911">
        <v>2</v>
      </c>
      <c r="K21" s="2911">
        <v>3.82</v>
      </c>
      <c r="L21" s="2912">
        <v>1.68</v>
      </c>
      <c r="N21" s="2899">
        <f t="shared" si="138"/>
        <v>3.4000000000000002E-2</v>
      </c>
      <c r="O21" s="2917">
        <f t="shared" si="148"/>
        <v>0.02</v>
      </c>
      <c r="P21" s="2917">
        <f t="shared" si="149"/>
        <v>3.8199999999999998E-2</v>
      </c>
      <c r="Q21" s="2917">
        <f t="shared" si="150"/>
        <v>1.6799999999999999E-2</v>
      </c>
      <c r="S21" s="2899"/>
      <c r="T21" s="2885"/>
      <c r="U21" s="2885"/>
      <c r="V21" s="2885"/>
      <c r="X21" s="2884">
        <f>ROUND(SUMPRODUCT(PRODUCT(1+N21:N$34)),4)</f>
        <v>1.4033</v>
      </c>
      <c r="Y21" s="2884">
        <f>ROUND(SUMPRODUCT(PRODUCT(1+O21:O$34)),4)</f>
        <v>1.2491000000000001</v>
      </c>
      <c r="Z21" s="2884">
        <f t="shared" si="66"/>
        <v>1.2491000000000001</v>
      </c>
      <c r="AA21" s="2884">
        <f>ROUND(SUMPRODUCT(PRODUCT(1+P21:P$34)),4)</f>
        <v>1.4581999999999999</v>
      </c>
      <c r="AB21" s="2884">
        <f>ROUND(SUMPRODUCT(PRODUCT(1+Q21:Q$34)),4)</f>
        <v>1.2093</v>
      </c>
      <c r="AD21" s="2885">
        <f>ROUND(AVERAGE(I21:I$34)/100,4)</f>
        <v>2.46E-2</v>
      </c>
      <c r="AE21" s="2885">
        <f>ROUND(AVERAGE(J21:J$34)/100,4)</f>
        <v>1.6E-2</v>
      </c>
      <c r="AF21" s="2885">
        <f t="shared" si="1"/>
        <v>1.6E-2</v>
      </c>
      <c r="AG21" s="2885">
        <f>ROUND(AVERAGE(K21:K$34)/100,4)</f>
        <v>2.75E-2</v>
      </c>
      <c r="AH21" s="2885">
        <f>ROUND(AVERAGE(L21:L$34)/100,4)</f>
        <v>1.37E-2</v>
      </c>
    </row>
    <row r="22" spans="1:34" s="2903" customFormat="1" ht="15" customHeight="1" thickBot="1">
      <c r="A22" s="2896" t="s">
        <v>2560</v>
      </c>
      <c r="B22" s="2897">
        <f t="shared" si="146"/>
        <v>405.524</v>
      </c>
      <c r="C22" s="2897">
        <f t="shared" si="146"/>
        <v>307.79840000000002</v>
      </c>
      <c r="D22" s="2897">
        <f t="shared" si="135"/>
        <v>307.79840000000002</v>
      </c>
      <c r="E22" s="2897">
        <f t="shared" si="147"/>
        <v>574.67759999999998</v>
      </c>
      <c r="F22" s="2897">
        <f t="shared" si="147"/>
        <v>270.20280000000002</v>
      </c>
      <c r="G22" s="3656"/>
      <c r="H22" s="2898">
        <v>1</v>
      </c>
      <c r="I22" s="2898">
        <v>3.45</v>
      </c>
      <c r="J22" s="2898">
        <v>1.92</v>
      </c>
      <c r="K22" s="2898">
        <v>3.92</v>
      </c>
      <c r="L22" s="2904">
        <v>1.58</v>
      </c>
      <c r="M22" s="2884"/>
      <c r="N22" s="2901">
        <f t="shared" si="138"/>
        <v>3.4500000000000003E-2</v>
      </c>
      <c r="O22" s="2902">
        <f t="shared" ref="O22" si="151">J22/100</f>
        <v>1.9199999999999998E-2</v>
      </c>
      <c r="P22" s="2902">
        <f t="shared" ref="P22" si="152">K22/100</f>
        <v>3.9199999999999999E-2</v>
      </c>
      <c r="Q22" s="2902">
        <f t="shared" ref="Q22" si="153">L22/100</f>
        <v>1.5800000000000002E-2</v>
      </c>
      <c r="R22" s="2900"/>
      <c r="S22" s="2901">
        <f>B22/B23-1</f>
        <v>3.4499999999999975E-2</v>
      </c>
      <c r="T22" s="2902">
        <f>C22/C23-1</f>
        <v>1.9200000000000106E-2</v>
      </c>
      <c r="U22" s="2902">
        <f>E22/E23-1</f>
        <v>3.9199999999999902E-2</v>
      </c>
      <c r="V22" s="2902">
        <f>F22/F23-1</f>
        <v>1.5800000000000036E-2</v>
      </c>
      <c r="W22" s="2884"/>
      <c r="X22" s="2884">
        <f>ROUND(SUMPRODUCT(PRODUCT(1+N22:N$34)),4)</f>
        <v>1.3571</v>
      </c>
      <c r="Y22" s="2884">
        <f>ROUND(SUMPRODUCT(PRODUCT(1+O22:O$34)),4)</f>
        <v>1.2245999999999999</v>
      </c>
      <c r="Z22" s="2884">
        <f t="shared" si="66"/>
        <v>1.2245999999999999</v>
      </c>
      <c r="AA22" s="2884">
        <f>ROUND(SUMPRODUCT(PRODUCT(1+P22:P$34)),4)</f>
        <v>1.4046000000000001</v>
      </c>
      <c r="AB22" s="2884">
        <f>ROUND(SUMPRODUCT(PRODUCT(1+Q22:Q$34)),4)</f>
        <v>1.1893</v>
      </c>
      <c r="AC22" s="2884"/>
      <c r="AD22" s="2885">
        <f>ROUND(AVERAGE(I22:I$34)/100,4)</f>
        <v>2.3900000000000001E-2</v>
      </c>
      <c r="AE22" s="2885">
        <f>ROUND(AVERAGE(J22:J$34)/100,4)</f>
        <v>1.5699999999999999E-2</v>
      </c>
      <c r="AF22" s="2885">
        <f t="shared" si="1"/>
        <v>1.5699999999999999E-2</v>
      </c>
      <c r="AG22" s="2885">
        <f>ROUND(AVERAGE(K22:K$34)/100,4)</f>
        <v>2.6599999999999999E-2</v>
      </c>
      <c r="AH22" s="2885">
        <f>ROUND(AVERAGE(L22:L$34)/100,4)</f>
        <v>1.34E-2</v>
      </c>
    </row>
    <row r="23" spans="1:34">
      <c r="A23" s="2896" t="s">
        <v>959</v>
      </c>
      <c r="B23" s="2918">
        <v>392</v>
      </c>
      <c r="C23" s="2918">
        <v>302</v>
      </c>
      <c r="D23" s="2918">
        <f t="shared" si="135"/>
        <v>302</v>
      </c>
      <c r="E23" s="2918">
        <v>553</v>
      </c>
      <c r="F23" s="2919">
        <v>266</v>
      </c>
      <c r="G23" s="3654">
        <v>2016</v>
      </c>
      <c r="H23" s="2905">
        <v>4</v>
      </c>
      <c r="I23" s="2905">
        <v>4.5599999999999996</v>
      </c>
      <c r="J23" s="2905">
        <v>2.15</v>
      </c>
      <c r="K23" s="2905">
        <v>5.32</v>
      </c>
      <c r="L23" s="2906">
        <v>1.57</v>
      </c>
      <c r="N23" s="2899">
        <f t="shared" si="138"/>
        <v>4.5599999999999995E-2</v>
      </c>
      <c r="O23" s="2885">
        <f t="shared" ref="O23:Q38" si="154">J23/100</f>
        <v>2.1499999999999998E-2</v>
      </c>
      <c r="P23" s="2885">
        <f t="shared" si="154"/>
        <v>5.3200000000000004E-2</v>
      </c>
      <c r="Q23" s="2885">
        <f t="shared" si="154"/>
        <v>1.5700000000000002E-2</v>
      </c>
      <c r="R23" s="2900"/>
      <c r="S23" s="2909"/>
      <c r="T23" s="2910"/>
      <c r="U23" s="2910"/>
      <c r="V23" s="2910"/>
      <c r="X23" s="2884">
        <f>ROUND(SUMPRODUCT(PRODUCT(1+N23:N$34)),4)</f>
        <v>1.3119000000000001</v>
      </c>
      <c r="Y23" s="2884">
        <f>ROUND(SUMPRODUCT(PRODUCT(1+O23:O$34)),4)</f>
        <v>1.2016</v>
      </c>
      <c r="Z23" s="2884">
        <f t="shared" si="66"/>
        <v>1.2016</v>
      </c>
      <c r="AA23" s="2884">
        <f>ROUND(SUMPRODUCT(PRODUCT(1+P23:P$34)),4)</f>
        <v>1.3515999999999999</v>
      </c>
      <c r="AB23" s="2884">
        <f>ROUND(SUMPRODUCT(PRODUCT(1+Q23:Q$34)),4)</f>
        <v>1.1708000000000001</v>
      </c>
      <c r="AD23" s="2885">
        <f>ROUND(AVERAGE(I23:I$34)/100,4)</f>
        <v>2.3E-2</v>
      </c>
      <c r="AE23" s="2885">
        <f>ROUND(AVERAGE(J23:J$34)/100,4)</f>
        <v>1.55E-2</v>
      </c>
      <c r="AF23" s="2885">
        <f t="shared" si="1"/>
        <v>1.55E-2</v>
      </c>
      <c r="AG23" s="2885">
        <f>ROUND(AVERAGE(K23:K$34)/100,4)</f>
        <v>2.5600000000000001E-2</v>
      </c>
      <c r="AH23" s="2885">
        <f>ROUND(AVERAGE(L23:L$34)/100,4)</f>
        <v>1.32E-2</v>
      </c>
    </row>
    <row r="24" spans="1:34">
      <c r="A24" s="2896" t="s">
        <v>958</v>
      </c>
      <c r="B24" s="2897">
        <f t="shared" ref="B24:C26" si="155">B23/(1+N23)</f>
        <v>374.90436113236416</v>
      </c>
      <c r="C24" s="2897">
        <f t="shared" si="155"/>
        <v>295.64366128242779</v>
      </c>
      <c r="D24" s="2897">
        <f t="shared" ref="D24:D83" si="156">C24</f>
        <v>295.64366128242779</v>
      </c>
      <c r="E24" s="2897">
        <f t="shared" ref="E24:F26" si="157">E23/(1+P23)</f>
        <v>525.06646410938095</v>
      </c>
      <c r="F24" s="2897">
        <f t="shared" si="157"/>
        <v>261.88835286009646</v>
      </c>
      <c r="G24" s="3655"/>
      <c r="H24" s="2898">
        <v>3</v>
      </c>
      <c r="I24" s="2898">
        <v>4.12</v>
      </c>
      <c r="J24" s="2898">
        <v>2</v>
      </c>
      <c r="K24" s="2898">
        <v>4.79</v>
      </c>
      <c r="L24" s="2904">
        <v>1.97</v>
      </c>
      <c r="N24" s="2899">
        <f t="shared" ref="N24:Q58" si="158">I24/100</f>
        <v>4.1200000000000001E-2</v>
      </c>
      <c r="O24" s="2885">
        <f t="shared" si="154"/>
        <v>0.02</v>
      </c>
      <c r="P24" s="2885">
        <f t="shared" si="154"/>
        <v>4.7899999999999998E-2</v>
      </c>
      <c r="Q24" s="2885">
        <f t="shared" si="154"/>
        <v>1.9699999999999999E-2</v>
      </c>
      <c r="R24" s="2900"/>
      <c r="S24" s="2899"/>
      <c r="T24" s="2885"/>
      <c r="U24" s="2885"/>
      <c r="V24" s="2885"/>
      <c r="X24" s="2884">
        <f>ROUND(SUMPRODUCT(PRODUCT(1+N24:N$34)),4)</f>
        <v>1.2546999999999999</v>
      </c>
      <c r="Y24" s="2884">
        <f>ROUND(SUMPRODUCT(PRODUCT(1+O24:O$34)),4)</f>
        <v>1.1762999999999999</v>
      </c>
      <c r="Z24" s="2884">
        <f t="shared" si="66"/>
        <v>1.1762999999999999</v>
      </c>
      <c r="AA24" s="2884">
        <f>ROUND(SUMPRODUCT(PRODUCT(1+P24:P$34)),4)</f>
        <v>1.2833000000000001</v>
      </c>
      <c r="AB24" s="2884">
        <f>ROUND(SUMPRODUCT(PRODUCT(1+Q24:Q$34)),4)</f>
        <v>1.1527000000000001</v>
      </c>
      <c r="AD24" s="2885">
        <f>ROUND(AVERAGE(I24:I$34)/100,4)</f>
        <v>2.0899999999999998E-2</v>
      </c>
      <c r="AE24" s="2885">
        <f>ROUND(AVERAGE(J24:J$34)/100,4)</f>
        <v>1.49E-2</v>
      </c>
      <c r="AF24" s="2885">
        <f t="shared" si="1"/>
        <v>1.49E-2</v>
      </c>
      <c r="AG24" s="2885">
        <f>ROUND(AVERAGE(K24:K$34)/100,4)</f>
        <v>2.3099999999999999E-2</v>
      </c>
      <c r="AH24" s="2885">
        <f>ROUND(AVERAGE(L24:L$34)/100,4)</f>
        <v>1.2999999999999999E-2</v>
      </c>
    </row>
    <row r="25" spans="1:34">
      <c r="A25" s="2896" t="s">
        <v>948</v>
      </c>
      <c r="B25" s="2897">
        <f t="shared" si="155"/>
        <v>360.06949782209392</v>
      </c>
      <c r="C25" s="2897">
        <f t="shared" si="155"/>
        <v>289.84672674747821</v>
      </c>
      <c r="D25" s="2897">
        <f t="shared" si="156"/>
        <v>289.84672674747821</v>
      </c>
      <c r="E25" s="2897">
        <f t="shared" si="157"/>
        <v>501.06543001181495</v>
      </c>
      <c r="F25" s="2897">
        <f t="shared" si="157"/>
        <v>256.82882500744967</v>
      </c>
      <c r="G25" s="3655"/>
      <c r="H25" s="2911">
        <v>2</v>
      </c>
      <c r="I25" s="2911">
        <v>3.85</v>
      </c>
      <c r="J25" s="2911">
        <v>1.95</v>
      </c>
      <c r="K25" s="2911">
        <v>4.4800000000000004</v>
      </c>
      <c r="L25" s="2912">
        <v>1.41</v>
      </c>
      <c r="N25" s="2899">
        <f t="shared" si="158"/>
        <v>3.85E-2</v>
      </c>
      <c r="O25" s="2885">
        <f t="shared" si="154"/>
        <v>1.95E-2</v>
      </c>
      <c r="P25" s="2885">
        <f t="shared" si="154"/>
        <v>4.4800000000000006E-2</v>
      </c>
      <c r="Q25" s="2885">
        <f t="shared" si="154"/>
        <v>1.41E-2</v>
      </c>
      <c r="R25" s="2900"/>
      <c r="S25" s="2899"/>
      <c r="T25" s="2885"/>
      <c r="U25" s="2885"/>
      <c r="V25" s="2885"/>
      <c r="X25" s="2884">
        <f>ROUND(SUMPRODUCT(PRODUCT(1+N25:N$34)),4)</f>
        <v>1.2050000000000001</v>
      </c>
      <c r="Y25" s="2884">
        <f>ROUND(SUMPRODUCT(PRODUCT(1+O25:O$34)),4)</f>
        <v>1.1532</v>
      </c>
      <c r="Z25" s="2884">
        <f t="shared" si="66"/>
        <v>1.1532</v>
      </c>
      <c r="AA25" s="2884">
        <f>ROUND(SUMPRODUCT(PRODUCT(1+P25:P$34)),4)</f>
        <v>1.2246999999999999</v>
      </c>
      <c r="AB25" s="2884">
        <f>ROUND(SUMPRODUCT(PRODUCT(1+Q25:Q$34)),4)</f>
        <v>1.1304000000000001</v>
      </c>
      <c r="AD25" s="2885">
        <f>ROUND(AVERAGE(I25:I$34)/100,4)</f>
        <v>1.89E-2</v>
      </c>
      <c r="AE25" s="2885">
        <f>ROUND(AVERAGE(J25:J$34)/100,4)</f>
        <v>1.44E-2</v>
      </c>
      <c r="AF25" s="2885">
        <f t="shared" si="1"/>
        <v>1.44E-2</v>
      </c>
      <c r="AG25" s="2885">
        <f>ROUND(AVERAGE(K25:K$34)/100,4)</f>
        <v>2.06E-2</v>
      </c>
      <c r="AH25" s="2885">
        <f>ROUND(AVERAGE(L25:L$34)/100,4)</f>
        <v>1.23E-2</v>
      </c>
    </row>
    <row r="26" spans="1:34" ht="13.5" thickBot="1">
      <c r="A26" s="2896" t="s">
        <v>957</v>
      </c>
      <c r="B26" s="2897">
        <f t="shared" si="155"/>
        <v>346.720748986128</v>
      </c>
      <c r="C26" s="2897">
        <f t="shared" si="155"/>
        <v>284.30282172386285</v>
      </c>
      <c r="D26" s="2897">
        <f t="shared" si="156"/>
        <v>284.30282172386285</v>
      </c>
      <c r="E26" s="2897">
        <f t="shared" si="157"/>
        <v>479.58023546306947</v>
      </c>
      <c r="F26" s="2897">
        <f t="shared" si="157"/>
        <v>253.25788877571213</v>
      </c>
      <c r="G26" s="3658"/>
      <c r="H26" s="2898">
        <v>1</v>
      </c>
      <c r="I26" s="2898">
        <v>4.09</v>
      </c>
      <c r="J26" s="2898">
        <v>2.93</v>
      </c>
      <c r="K26" s="2898">
        <v>4.54</v>
      </c>
      <c r="L26" s="2904">
        <v>1.48</v>
      </c>
      <c r="N26" s="2899">
        <f t="shared" si="158"/>
        <v>4.0899999999999999E-2</v>
      </c>
      <c r="O26" s="2885">
        <f t="shared" si="154"/>
        <v>2.9300000000000003E-2</v>
      </c>
      <c r="P26" s="2885">
        <f t="shared" si="154"/>
        <v>4.5400000000000003E-2</v>
      </c>
      <c r="Q26" s="2885">
        <f t="shared" si="154"/>
        <v>1.4800000000000001E-2</v>
      </c>
      <c r="R26" s="2900"/>
      <c r="S26" s="2901">
        <f>B26/B27-1</f>
        <v>4.1203450408792808E-2</v>
      </c>
      <c r="T26" s="2902">
        <f>C26/C27-1</f>
        <v>2.6363977342465095E-2</v>
      </c>
      <c r="U26" s="2902">
        <f>E26/E27-1</f>
        <v>4.4837114298626357E-2</v>
      </c>
      <c r="V26" s="2902">
        <f>F26/F27-1</f>
        <v>1.7099954922538574E-2</v>
      </c>
      <c r="X26" s="2884">
        <f>ROUND(SUMPRODUCT(PRODUCT(1+N26:N$34)),4)</f>
        <v>1.1604000000000001</v>
      </c>
      <c r="Y26" s="2884">
        <f>ROUND(SUMPRODUCT(PRODUCT(1+O26:O$34)),4)</f>
        <v>1.1312</v>
      </c>
      <c r="Z26" s="2884">
        <f t="shared" si="66"/>
        <v>1.1312</v>
      </c>
      <c r="AA26" s="2884">
        <f>ROUND(SUMPRODUCT(PRODUCT(1+P26:P$34)),4)</f>
        <v>1.1721999999999999</v>
      </c>
      <c r="AB26" s="2884">
        <f>ROUND(SUMPRODUCT(PRODUCT(1+Q26:Q$34)),4)</f>
        <v>1.1147</v>
      </c>
      <c r="AD26" s="2885">
        <f>ROUND(AVERAGE(I26:I$34)/100,4)</f>
        <v>1.67E-2</v>
      </c>
      <c r="AE26" s="2885">
        <f>ROUND(AVERAGE(J26:J$34)/100,4)</f>
        <v>1.38E-2</v>
      </c>
      <c r="AF26" s="2885">
        <f t="shared" si="1"/>
        <v>1.38E-2</v>
      </c>
      <c r="AG26" s="2885">
        <f>ROUND(AVERAGE(K26:K$34)/100,4)</f>
        <v>1.7899999999999999E-2</v>
      </c>
      <c r="AH26" s="2885">
        <f>ROUND(AVERAGE(L26:L$34)/100,4)</f>
        <v>1.21E-2</v>
      </c>
    </row>
    <row r="27" spans="1:34" ht="13.5" thickBot="1">
      <c r="A27" s="2896" t="s">
        <v>956</v>
      </c>
      <c r="B27" s="2918">
        <v>333</v>
      </c>
      <c r="C27" s="2918">
        <v>277</v>
      </c>
      <c r="D27" s="2918">
        <f t="shared" si="156"/>
        <v>277</v>
      </c>
      <c r="E27" s="2918">
        <v>459</v>
      </c>
      <c r="F27" s="2919">
        <v>249</v>
      </c>
      <c r="G27" s="3657">
        <v>2015</v>
      </c>
      <c r="H27" s="2920">
        <v>4</v>
      </c>
      <c r="I27" s="2920">
        <v>1.63</v>
      </c>
      <c r="J27" s="2920">
        <v>1.1100000000000001</v>
      </c>
      <c r="K27" s="2920">
        <v>1.77</v>
      </c>
      <c r="L27" s="2921">
        <v>1.89</v>
      </c>
      <c r="N27" s="2915">
        <f t="shared" si="158"/>
        <v>1.6299999999999999E-2</v>
      </c>
      <c r="O27" s="2916">
        <f t="shared" si="154"/>
        <v>1.11E-2</v>
      </c>
      <c r="P27" s="2916">
        <f t="shared" si="154"/>
        <v>1.77E-2</v>
      </c>
      <c r="Q27" s="2916">
        <f t="shared" si="154"/>
        <v>1.89E-2</v>
      </c>
      <c r="R27" s="2900"/>
      <c r="X27" s="2884">
        <f>ROUND(SUMPRODUCT(PRODUCT(1+N27:N$34)),4)</f>
        <v>1.1148</v>
      </c>
      <c r="Y27" s="2884">
        <f>ROUND(SUMPRODUCT(PRODUCT(1+O27:O$34)),4)</f>
        <v>1.099</v>
      </c>
      <c r="Z27" s="2884">
        <f t="shared" si="66"/>
        <v>1.099</v>
      </c>
      <c r="AA27" s="2884">
        <f>ROUND(SUMPRODUCT(PRODUCT(1+P27:P$34)),4)</f>
        <v>1.1213</v>
      </c>
      <c r="AB27" s="2884">
        <f>ROUND(SUMPRODUCT(PRODUCT(1+Q27:Q$34)),4)</f>
        <v>1.0984</v>
      </c>
      <c r="AD27" s="2885">
        <f>ROUND(AVERAGE(I27:I$34)/100,4)</f>
        <v>1.37E-2</v>
      </c>
      <c r="AE27" s="2885">
        <f>ROUND(AVERAGE(J27:J$34)/100,4)</f>
        <v>1.1900000000000001E-2</v>
      </c>
      <c r="AF27" s="2885">
        <f t="shared" si="1"/>
        <v>1.1900000000000001E-2</v>
      </c>
      <c r="AG27" s="2885">
        <f>ROUND(AVERAGE(K27:K$34)/100,4)</f>
        <v>1.4500000000000001E-2</v>
      </c>
      <c r="AH27" s="2885">
        <f>ROUND(AVERAGE(L27:L$34)/100,4)</f>
        <v>1.18E-2</v>
      </c>
    </row>
    <row r="28" spans="1:34">
      <c r="A28" s="2896" t="s">
        <v>955</v>
      </c>
      <c r="B28" s="2897">
        <f t="shared" ref="B28:C30" si="159">B27/(1+N27)</f>
        <v>327.65915576109415</v>
      </c>
      <c r="C28" s="2897">
        <f t="shared" si="159"/>
        <v>273.95905449510434</v>
      </c>
      <c r="D28" s="2897">
        <f t="shared" si="156"/>
        <v>273.95905449510434</v>
      </c>
      <c r="E28" s="2897">
        <f t="shared" ref="E28:F30" si="160">E27/(1+P27)</f>
        <v>451.01699911565294</v>
      </c>
      <c r="F28" s="2897">
        <f t="shared" si="160"/>
        <v>244.38119540681129</v>
      </c>
      <c r="G28" s="3655"/>
      <c r="H28" s="2923">
        <v>3</v>
      </c>
      <c r="I28" s="2923">
        <v>1.65</v>
      </c>
      <c r="J28" s="2923">
        <v>0.92</v>
      </c>
      <c r="K28" s="2923">
        <v>1.88</v>
      </c>
      <c r="L28" s="2924">
        <v>1.26</v>
      </c>
      <c r="N28" s="2899">
        <f t="shared" si="158"/>
        <v>1.6500000000000001E-2</v>
      </c>
      <c r="O28" s="2917">
        <f t="shared" si="154"/>
        <v>9.1999999999999998E-3</v>
      </c>
      <c r="P28" s="2917">
        <f t="shared" si="154"/>
        <v>1.8799999999999997E-2</v>
      </c>
      <c r="Q28" s="2917">
        <f t="shared" si="154"/>
        <v>1.26E-2</v>
      </c>
      <c r="R28" s="2900"/>
      <c r="S28" s="2899"/>
      <c r="T28" s="2885"/>
      <c r="U28" s="2885"/>
      <c r="V28" s="2885"/>
      <c r="X28" s="2884">
        <f>ROUND(SUMPRODUCT(PRODUCT(1+N28:N$34)),4)</f>
        <v>1.0969</v>
      </c>
      <c r="Y28" s="2884">
        <f>ROUND(SUMPRODUCT(PRODUCT(1+O28:O$34)),4)</f>
        <v>1.0869</v>
      </c>
      <c r="Z28" s="2884">
        <f t="shared" si="66"/>
        <v>1.0869</v>
      </c>
      <c r="AA28" s="2884">
        <f>ROUND(SUMPRODUCT(PRODUCT(1+P28:P$34)),4)</f>
        <v>1.1017999999999999</v>
      </c>
      <c r="AB28" s="2884">
        <f>ROUND(SUMPRODUCT(PRODUCT(1+Q28:Q$34)),4)</f>
        <v>1.0781000000000001</v>
      </c>
      <c r="AD28" s="2885">
        <f>ROUND(AVERAGE(I28:I$34)/100,4)</f>
        <v>1.3299999999999999E-2</v>
      </c>
      <c r="AE28" s="2885">
        <f>ROUND(AVERAGE(J28:J$34)/100,4)</f>
        <v>1.2E-2</v>
      </c>
      <c r="AF28" s="2885">
        <f t="shared" si="1"/>
        <v>1.2E-2</v>
      </c>
      <c r="AG28" s="2885">
        <f>ROUND(AVERAGE(K28:K$34)/100,4)</f>
        <v>1.4E-2</v>
      </c>
      <c r="AH28" s="2885">
        <f>ROUND(AVERAGE(L28:L$34)/100,4)</f>
        <v>1.0800000000000001E-2</v>
      </c>
    </row>
    <row r="29" spans="1:34">
      <c r="A29" s="2896" t="s">
        <v>954</v>
      </c>
      <c r="B29" s="2897">
        <f t="shared" si="159"/>
        <v>322.34053690220776</v>
      </c>
      <c r="C29" s="2897">
        <f t="shared" si="159"/>
        <v>271.46160770422546</v>
      </c>
      <c r="D29" s="2897">
        <f t="shared" si="156"/>
        <v>271.46160770422546</v>
      </c>
      <c r="E29" s="2897">
        <f t="shared" si="160"/>
        <v>442.69434542172456</v>
      </c>
      <c r="F29" s="2897">
        <f t="shared" si="160"/>
        <v>241.34030753190925</v>
      </c>
      <c r="G29" s="3655"/>
      <c r="H29" s="2911">
        <v>2</v>
      </c>
      <c r="I29" s="2911">
        <v>0.77</v>
      </c>
      <c r="J29" s="2911">
        <v>0.69</v>
      </c>
      <c r="K29" s="2911">
        <v>0.8</v>
      </c>
      <c r="L29" s="2912">
        <v>0.88</v>
      </c>
      <c r="N29" s="2899">
        <f t="shared" si="158"/>
        <v>7.7000000000000002E-3</v>
      </c>
      <c r="O29" s="2917">
        <f t="shared" si="154"/>
        <v>6.8999999999999999E-3</v>
      </c>
      <c r="P29" s="2917">
        <f t="shared" si="154"/>
        <v>8.0000000000000002E-3</v>
      </c>
      <c r="Q29" s="2917">
        <f t="shared" si="154"/>
        <v>8.8000000000000005E-3</v>
      </c>
      <c r="R29" s="2900"/>
      <c r="S29" s="2899"/>
      <c r="T29" s="2885"/>
      <c r="U29" s="2885"/>
      <c r="V29" s="2885"/>
      <c r="X29" s="2884">
        <f>ROUND(SUMPRODUCT(PRODUCT(1+N29:N$34)),4)</f>
        <v>1.0790999999999999</v>
      </c>
      <c r="Y29" s="2884">
        <f>ROUND(SUMPRODUCT(PRODUCT(1+O29:O$34)),4)</f>
        <v>1.077</v>
      </c>
      <c r="Z29" s="2884">
        <f t="shared" si="66"/>
        <v>1.077</v>
      </c>
      <c r="AA29" s="2884">
        <f>ROUND(SUMPRODUCT(PRODUCT(1+P29:P$34)),4)</f>
        <v>1.0813999999999999</v>
      </c>
      <c r="AB29" s="2884">
        <f>ROUND(SUMPRODUCT(PRODUCT(1+Q29:Q$34)),4)</f>
        <v>1.0647</v>
      </c>
      <c r="AD29" s="2885">
        <f>ROUND(AVERAGE(I29:I$34)/100,4)</f>
        <v>1.2800000000000001E-2</v>
      </c>
      <c r="AE29" s="2885">
        <f>ROUND(AVERAGE(J29:J$34)/100,4)</f>
        <v>1.2500000000000001E-2</v>
      </c>
      <c r="AF29" s="2885">
        <f t="shared" si="1"/>
        <v>1.2500000000000001E-2</v>
      </c>
      <c r="AG29" s="2885">
        <f>ROUND(AVERAGE(K29:K$34)/100,4)</f>
        <v>1.32E-2</v>
      </c>
      <c r="AH29" s="2885">
        <f>ROUND(AVERAGE(L29:L$34)/100,4)</f>
        <v>1.0500000000000001E-2</v>
      </c>
    </row>
    <row r="30" spans="1:34">
      <c r="A30" s="2896" t="s">
        <v>953</v>
      </c>
      <c r="B30" s="2897">
        <f t="shared" si="159"/>
        <v>319.87748030386797</v>
      </c>
      <c r="C30" s="2897">
        <f t="shared" si="159"/>
        <v>269.60135833173649</v>
      </c>
      <c r="D30" s="2897">
        <f t="shared" si="156"/>
        <v>269.60135833173649</v>
      </c>
      <c r="E30" s="2897">
        <f t="shared" si="160"/>
        <v>439.18089823583784</v>
      </c>
      <c r="F30" s="2897">
        <f t="shared" si="160"/>
        <v>239.23503918706311</v>
      </c>
      <c r="G30" s="3658"/>
      <c r="H30" s="2898">
        <v>1</v>
      </c>
      <c r="I30" s="2898">
        <v>0.51</v>
      </c>
      <c r="J30" s="2898">
        <v>0.54</v>
      </c>
      <c r="K30" s="2898">
        <v>0.48</v>
      </c>
      <c r="L30" s="2904">
        <v>0.93</v>
      </c>
      <c r="N30" s="2901">
        <f t="shared" si="158"/>
        <v>5.1000000000000004E-3</v>
      </c>
      <c r="O30" s="2902">
        <f t="shared" si="154"/>
        <v>5.4000000000000003E-3</v>
      </c>
      <c r="P30" s="2902">
        <f t="shared" si="154"/>
        <v>4.7999999999999996E-3</v>
      </c>
      <c r="Q30" s="2902">
        <f t="shared" si="154"/>
        <v>9.300000000000001E-3</v>
      </c>
      <c r="R30" s="2900"/>
      <c r="S30" s="2901">
        <f>B30/B31-1</f>
        <v>5.9040261127922822E-3</v>
      </c>
      <c r="T30" s="2902">
        <f>C30/C31-1</f>
        <v>5.9752176557332781E-3</v>
      </c>
      <c r="U30" s="2902">
        <f>E30/E31-1</f>
        <v>4.9906138119859556E-3</v>
      </c>
      <c r="V30" s="2902">
        <f>F30/F31-1</f>
        <v>9.4305450930933787E-3</v>
      </c>
      <c r="X30" s="2884">
        <f>ROUND(SUMPRODUCT(PRODUCT(1+N30:N$34)),4)</f>
        <v>1.0708</v>
      </c>
      <c r="Y30" s="2884">
        <f>ROUND(SUMPRODUCT(PRODUCT(1+O30:O$34)),4)</f>
        <v>1.0696000000000001</v>
      </c>
      <c r="Z30" s="2884">
        <f t="shared" si="66"/>
        <v>1.0696000000000001</v>
      </c>
      <c r="AA30" s="2884">
        <f>ROUND(SUMPRODUCT(PRODUCT(1+P30:P$34)),4)</f>
        <v>1.0728</v>
      </c>
      <c r="AB30" s="2884">
        <f>ROUND(SUMPRODUCT(PRODUCT(1+Q30:Q$34)),4)</f>
        <v>1.0553999999999999</v>
      </c>
      <c r="AD30" s="2885">
        <f>ROUND(AVERAGE(I30:I$34)/100,4)</f>
        <v>1.38E-2</v>
      </c>
      <c r="AE30" s="2885">
        <f>ROUND(AVERAGE(J30:J$34)/100,4)</f>
        <v>1.3599999999999999E-2</v>
      </c>
      <c r="AF30" s="2885">
        <f t="shared" si="1"/>
        <v>1.3599999999999999E-2</v>
      </c>
      <c r="AG30" s="2885">
        <f>ROUND(AVERAGE(K30:K$34)/100,4)</f>
        <v>1.4200000000000001E-2</v>
      </c>
      <c r="AH30" s="2885">
        <f>ROUND(AVERAGE(L30:L$34)/100,4)</f>
        <v>1.0800000000000001E-2</v>
      </c>
    </row>
    <row r="31" spans="1:34" ht="13.5" thickBot="1">
      <c r="A31" s="2896" t="s">
        <v>952</v>
      </c>
      <c r="B31" s="2925">
        <v>318</v>
      </c>
      <c r="C31" s="2925">
        <v>268</v>
      </c>
      <c r="D31" s="2925">
        <f t="shared" si="156"/>
        <v>268</v>
      </c>
      <c r="E31" s="2925">
        <v>437</v>
      </c>
      <c r="F31" s="2926">
        <v>237</v>
      </c>
      <c r="G31" s="3657">
        <v>2014</v>
      </c>
      <c r="H31" s="2920">
        <v>4</v>
      </c>
      <c r="I31" s="2920">
        <v>0.21</v>
      </c>
      <c r="J31" s="2920">
        <v>0.41</v>
      </c>
      <c r="K31" s="2920">
        <v>0.12</v>
      </c>
      <c r="L31" s="2921">
        <v>0.89</v>
      </c>
      <c r="N31" s="2899">
        <f t="shared" si="158"/>
        <v>2.0999999999999999E-3</v>
      </c>
      <c r="O31" s="2885">
        <f t="shared" si="154"/>
        <v>4.0999999999999995E-3</v>
      </c>
      <c r="P31" s="2885">
        <f t="shared" si="154"/>
        <v>1.1999999999999999E-3</v>
      </c>
      <c r="Q31" s="2885">
        <f t="shared" si="154"/>
        <v>8.8999999999999999E-3</v>
      </c>
      <c r="R31" s="2900"/>
      <c r="S31" s="2909"/>
      <c r="T31" s="2910"/>
      <c r="U31" s="2910"/>
      <c r="V31" s="2910"/>
      <c r="X31" s="2884">
        <f>ROUND(SUMPRODUCT(PRODUCT(1+N31:N$34)),4)</f>
        <v>1.0653999999999999</v>
      </c>
      <c r="Y31" s="2884">
        <f>ROUND(SUMPRODUCT(PRODUCT(1+O31:O$34)),4)</f>
        <v>1.0639000000000001</v>
      </c>
      <c r="Z31" s="2884">
        <f t="shared" si="66"/>
        <v>1.0639000000000001</v>
      </c>
      <c r="AA31" s="2884">
        <f>ROUND(SUMPRODUCT(PRODUCT(1+P31:P$34)),4)</f>
        <v>1.0677000000000001</v>
      </c>
      <c r="AB31" s="2884">
        <f>ROUND(SUMPRODUCT(PRODUCT(1+Q31:Q$34)),4)</f>
        <v>1.0456000000000001</v>
      </c>
      <c r="AD31" s="2885">
        <f>ROUND(AVERAGE(I31:I$34)/100,4)</f>
        <v>1.6E-2</v>
      </c>
      <c r="AE31" s="2885">
        <f>ROUND(AVERAGE(J31:J$34)/100,4)</f>
        <v>1.5599999999999999E-2</v>
      </c>
      <c r="AF31" s="2885">
        <f t="shared" si="1"/>
        <v>1.5599999999999999E-2</v>
      </c>
      <c r="AG31" s="2885">
        <f>ROUND(AVERAGE(K31:K$34)/100,4)</f>
        <v>1.66E-2</v>
      </c>
      <c r="AH31" s="2885">
        <f>ROUND(AVERAGE(L31:L$34)/100,4)</f>
        <v>1.12E-2</v>
      </c>
    </row>
    <row r="32" spans="1:34">
      <c r="A32" s="2896" t="s">
        <v>951</v>
      </c>
      <c r="B32" s="2897">
        <f t="shared" ref="B32:C34" si="161">B31/(1+N31)</f>
        <v>317.33359944117353</v>
      </c>
      <c r="C32" s="2897">
        <f t="shared" si="161"/>
        <v>266.90568668459315</v>
      </c>
      <c r="D32" s="2897">
        <f t="shared" si="156"/>
        <v>266.90568668459315</v>
      </c>
      <c r="E32" s="2897">
        <f t="shared" ref="E32:F34" si="162">E31/(1+P31)</f>
        <v>436.47622852576905</v>
      </c>
      <c r="F32" s="2897">
        <f t="shared" si="162"/>
        <v>234.90930716622066</v>
      </c>
      <c r="G32" s="3655"/>
      <c r="H32" s="2927">
        <v>3</v>
      </c>
      <c r="I32" s="2927">
        <v>0.83</v>
      </c>
      <c r="J32" s="2927">
        <v>1.47</v>
      </c>
      <c r="K32" s="2927">
        <v>0.65</v>
      </c>
      <c r="L32" s="2928">
        <v>0.72</v>
      </c>
      <c r="N32" s="2899">
        <f t="shared" si="158"/>
        <v>8.3000000000000001E-3</v>
      </c>
      <c r="O32" s="2885">
        <f t="shared" si="154"/>
        <v>1.47E-2</v>
      </c>
      <c r="P32" s="2885">
        <f t="shared" si="154"/>
        <v>6.5000000000000006E-3</v>
      </c>
      <c r="Q32" s="2885">
        <f t="shared" si="154"/>
        <v>7.1999999999999998E-3</v>
      </c>
      <c r="R32" s="2900"/>
      <c r="S32" s="2899"/>
      <c r="T32" s="2885"/>
      <c r="U32" s="2885"/>
      <c r="V32" s="2885"/>
      <c r="X32" s="2884">
        <f>ROUND(SUMPRODUCT(PRODUCT(1+N32:N$34)),4)</f>
        <v>1.0631999999999999</v>
      </c>
      <c r="Y32" s="2884">
        <f>ROUND(SUMPRODUCT(PRODUCT(1+O32:O$34)),4)</f>
        <v>1.0595000000000001</v>
      </c>
      <c r="Z32" s="2884">
        <f t="shared" si="66"/>
        <v>1.0595000000000001</v>
      </c>
      <c r="AA32" s="2884">
        <f>ROUND(SUMPRODUCT(PRODUCT(1+P32:P$34)),4)</f>
        <v>1.0664</v>
      </c>
      <c r="AB32" s="2884">
        <f>ROUND(SUMPRODUCT(PRODUCT(1+Q32:Q$34)),4)</f>
        <v>1.0364</v>
      </c>
      <c r="AD32" s="2885">
        <f>ROUND(AVERAGE(I32:I$34)/100,4)</f>
        <v>2.07E-2</v>
      </c>
      <c r="AE32" s="2885">
        <f>ROUND(AVERAGE(J32:J$34)/100,4)</f>
        <v>1.95E-2</v>
      </c>
      <c r="AF32" s="2885">
        <f t="shared" si="1"/>
        <v>1.95E-2</v>
      </c>
      <c r="AG32" s="2885">
        <f>ROUND(AVERAGE(K32:K$34)/100,4)</f>
        <v>2.1700000000000001E-2</v>
      </c>
      <c r="AH32" s="2885">
        <f>ROUND(AVERAGE(L32:L$34)/100,4)</f>
        <v>1.2E-2</v>
      </c>
    </row>
    <row r="33" spans="1:34" ht="13.5" thickBot="1">
      <c r="A33" s="2896" t="s">
        <v>950</v>
      </c>
      <c r="B33" s="2897">
        <f t="shared" si="161"/>
        <v>314.72141172386546</v>
      </c>
      <c r="C33" s="2897">
        <f t="shared" si="161"/>
        <v>263.03901319069001</v>
      </c>
      <c r="D33" s="2897">
        <f t="shared" si="156"/>
        <v>263.03901319069001</v>
      </c>
      <c r="E33" s="2897">
        <f t="shared" si="162"/>
        <v>433.65745506782821</v>
      </c>
      <c r="F33" s="2897">
        <f t="shared" si="162"/>
        <v>233.23005080045735</v>
      </c>
      <c r="G33" s="3655"/>
      <c r="H33" s="2920">
        <v>2</v>
      </c>
      <c r="I33" s="2920">
        <v>2.4</v>
      </c>
      <c r="J33" s="2920">
        <v>2.0299999999999998</v>
      </c>
      <c r="K33" s="2920">
        <v>2.59</v>
      </c>
      <c r="L33" s="2921">
        <v>1.52</v>
      </c>
      <c r="N33" s="2899">
        <f t="shared" si="158"/>
        <v>2.4E-2</v>
      </c>
      <c r="O33" s="2885">
        <f t="shared" si="154"/>
        <v>2.0299999999999999E-2</v>
      </c>
      <c r="P33" s="2885">
        <f t="shared" si="154"/>
        <v>2.5899999999999999E-2</v>
      </c>
      <c r="Q33" s="2885">
        <f t="shared" si="154"/>
        <v>1.52E-2</v>
      </c>
      <c r="R33" s="2900"/>
      <c r="S33" s="2899"/>
      <c r="T33" s="2885"/>
      <c r="U33" s="2885"/>
      <c r="V33" s="2885"/>
      <c r="X33" s="2884">
        <f>ROUND(SUMPRODUCT(PRODUCT(1+N33:N$34)),4)</f>
        <v>1.0544</v>
      </c>
      <c r="Y33" s="2884">
        <f>ROUND(SUMPRODUCT(PRODUCT(1+O33:O$34)),4)</f>
        <v>1.0442</v>
      </c>
      <c r="Z33" s="2884">
        <f t="shared" si="66"/>
        <v>1.0442</v>
      </c>
      <c r="AA33" s="2884">
        <f>ROUND(SUMPRODUCT(PRODUCT(1+P33:P$34)),4)</f>
        <v>1.0595000000000001</v>
      </c>
      <c r="AB33" s="2884">
        <f>ROUND(SUMPRODUCT(PRODUCT(1+Q33:Q$34)),4)</f>
        <v>1.0289999999999999</v>
      </c>
      <c r="AD33" s="2885">
        <f>ROUND(AVERAGE(I33:I$34)/100,4)</f>
        <v>2.69E-2</v>
      </c>
      <c r="AE33" s="2885">
        <f>ROUND(AVERAGE(J33:J$34)/100,4)</f>
        <v>2.1899999999999999E-2</v>
      </c>
      <c r="AF33" s="2885">
        <f t="shared" ref="AF33" si="163">AE33</f>
        <v>2.1899999999999999E-2</v>
      </c>
      <c r="AG33" s="2885">
        <f>ROUND(AVERAGE(K33:K$34)/100,4)</f>
        <v>2.9399999999999999E-2</v>
      </c>
      <c r="AH33" s="2885">
        <f>ROUND(AVERAGE(L33:L$34)/100,4)</f>
        <v>1.44E-2</v>
      </c>
    </row>
    <row r="34" spans="1:34" s="2933" customFormat="1" ht="13.5" thickBot="1">
      <c r="A34" s="2929" t="s">
        <v>949</v>
      </c>
      <c r="B34" s="2930">
        <f t="shared" si="161"/>
        <v>307.34512863658733</v>
      </c>
      <c r="C34" s="2930">
        <f t="shared" si="161"/>
        <v>257.80556031626975</v>
      </c>
      <c r="D34" s="2930">
        <f t="shared" si="156"/>
        <v>257.80556031626975</v>
      </c>
      <c r="E34" s="2930">
        <f t="shared" si="162"/>
        <v>422.70928459677179</v>
      </c>
      <c r="F34" s="2930">
        <f t="shared" si="162"/>
        <v>229.73803270336617</v>
      </c>
      <c r="G34" s="3658"/>
      <c r="H34" s="2931">
        <v>1</v>
      </c>
      <c r="I34" s="2931">
        <v>2.97</v>
      </c>
      <c r="J34" s="2931">
        <v>2.34</v>
      </c>
      <c r="K34" s="2931">
        <v>3.28</v>
      </c>
      <c r="L34" s="2932">
        <v>1.36</v>
      </c>
      <c r="N34" s="2934">
        <f t="shared" si="158"/>
        <v>2.9700000000000001E-2</v>
      </c>
      <c r="O34" s="2935">
        <f t="shared" si="154"/>
        <v>2.3399999999999997E-2</v>
      </c>
      <c r="P34" s="2935">
        <f t="shared" si="154"/>
        <v>3.2799999999999996E-2</v>
      </c>
      <c r="Q34" s="2935">
        <f t="shared" si="154"/>
        <v>1.3600000000000001E-2</v>
      </c>
      <c r="R34" s="2936"/>
      <c r="S34" s="2937">
        <f>B34/B35-1</f>
        <v>2.7910129219355539E-2</v>
      </c>
      <c r="T34" s="2938">
        <f>C34/C35-1</f>
        <v>2.3037937762975247E-2</v>
      </c>
      <c r="U34" s="2938">
        <f>E34/E35-1</f>
        <v>3.3519033243940788E-2</v>
      </c>
      <c r="V34" s="2938">
        <f>F34/F35-1</f>
        <v>1.2061818076502862E-2</v>
      </c>
      <c r="W34" s="2939" t="s">
        <v>2618</v>
      </c>
      <c r="X34" s="2940">
        <v>1</v>
      </c>
      <c r="Y34" s="2940">
        <v>1</v>
      </c>
      <c r="Z34" s="2940">
        <v>1</v>
      </c>
      <c r="AA34" s="2940">
        <v>1</v>
      </c>
      <c r="AB34" s="2940">
        <v>1</v>
      </c>
      <c r="AD34" s="2935">
        <f>I34/100</f>
        <v>2.9700000000000001E-2</v>
      </c>
      <c r="AE34" s="2935">
        <f>J34/100</f>
        <v>2.3399999999999997E-2</v>
      </c>
      <c r="AF34" s="2935">
        <f>AE34</f>
        <v>2.3399999999999997E-2</v>
      </c>
      <c r="AG34" s="2935">
        <f>K34/100</f>
        <v>3.2799999999999996E-2</v>
      </c>
      <c r="AH34" s="2935">
        <f>L34/100</f>
        <v>1.3600000000000001E-2</v>
      </c>
    </row>
    <row r="35" spans="1:34" ht="13.5" thickBot="1">
      <c r="A35" s="2896" t="s">
        <v>2561</v>
      </c>
      <c r="B35" s="2918">
        <v>299</v>
      </c>
      <c r="C35" s="2918">
        <v>252</v>
      </c>
      <c r="D35" s="2918">
        <f t="shared" si="156"/>
        <v>252</v>
      </c>
      <c r="E35" s="2918">
        <v>409</v>
      </c>
      <c r="F35" s="2919">
        <v>227</v>
      </c>
      <c r="G35" s="3662">
        <v>2013</v>
      </c>
      <c r="H35" s="2941">
        <v>4</v>
      </c>
      <c r="I35" s="2941">
        <v>1.83</v>
      </c>
      <c r="J35" s="2941">
        <v>1.68</v>
      </c>
      <c r="K35" s="2941">
        <v>1.97</v>
      </c>
      <c r="L35" s="2942">
        <v>0.87</v>
      </c>
      <c r="N35" s="2915">
        <f t="shared" si="158"/>
        <v>1.83E-2</v>
      </c>
      <c r="O35" s="2916">
        <f t="shared" si="154"/>
        <v>1.6799999999999999E-2</v>
      </c>
      <c r="P35" s="2916">
        <f t="shared" si="154"/>
        <v>1.9699999999999999E-2</v>
      </c>
      <c r="Q35" s="2916">
        <f t="shared" si="154"/>
        <v>8.6999999999999994E-3</v>
      </c>
      <c r="R35" s="2900"/>
      <c r="S35" s="2909"/>
      <c r="T35" s="2910"/>
      <c r="U35" s="2910"/>
      <c r="V35" s="2910"/>
      <c r="X35" s="2910"/>
      <c r="Y35" s="2910"/>
      <c r="Z35" s="2910"/>
    </row>
    <row r="36" spans="1:34">
      <c r="A36" s="2896" t="s">
        <v>2562</v>
      </c>
      <c r="B36" s="2897">
        <f t="shared" ref="B36:C38" si="164">B35/(1+N35)</f>
        <v>293.62663262299913</v>
      </c>
      <c r="C36" s="2897">
        <f t="shared" si="164"/>
        <v>247.83634933123525</v>
      </c>
      <c r="D36" s="2897">
        <f t="shared" si="156"/>
        <v>247.83634933123525</v>
      </c>
      <c r="E36" s="2897">
        <f t="shared" ref="E36:F38" si="165">E35/(1+P35)</f>
        <v>401.09836226341076</v>
      </c>
      <c r="F36" s="2897">
        <f t="shared" si="165"/>
        <v>225.04213343908003</v>
      </c>
      <c r="G36" s="3663"/>
      <c r="H36" s="2923">
        <v>3</v>
      </c>
      <c r="I36" s="2923">
        <v>1.86</v>
      </c>
      <c r="J36" s="2923">
        <v>1.72</v>
      </c>
      <c r="K36" s="2923">
        <v>1.98</v>
      </c>
      <c r="L36" s="2924">
        <v>0.88</v>
      </c>
      <c r="N36" s="2899">
        <f t="shared" si="158"/>
        <v>1.8600000000000002E-2</v>
      </c>
      <c r="O36" s="2917">
        <f t="shared" si="154"/>
        <v>1.72E-2</v>
      </c>
      <c r="P36" s="2917">
        <f t="shared" si="154"/>
        <v>1.9799999999999998E-2</v>
      </c>
      <c r="Q36" s="2917">
        <f t="shared" si="154"/>
        <v>8.8000000000000005E-3</v>
      </c>
      <c r="R36" s="2900"/>
      <c r="S36" s="2899"/>
      <c r="T36" s="2885"/>
      <c r="U36" s="2885"/>
      <c r="V36" s="2885"/>
    </row>
    <row r="37" spans="1:34">
      <c r="A37" s="2896" t="s">
        <v>2563</v>
      </c>
      <c r="B37" s="2897">
        <f t="shared" si="164"/>
        <v>288.2649053828776</v>
      </c>
      <c r="C37" s="2897">
        <f t="shared" si="164"/>
        <v>243.64564425013293</v>
      </c>
      <c r="D37" s="2897">
        <f t="shared" si="156"/>
        <v>243.64564425013293</v>
      </c>
      <c r="E37" s="2897">
        <f t="shared" si="165"/>
        <v>393.31080825986544</v>
      </c>
      <c r="F37" s="2897">
        <f t="shared" si="165"/>
        <v>223.07903790551154</v>
      </c>
      <c r="G37" s="3663"/>
      <c r="H37" s="2911">
        <v>2</v>
      </c>
      <c r="I37" s="2911">
        <v>2.04</v>
      </c>
      <c r="J37" s="2911">
        <v>2.33</v>
      </c>
      <c r="K37" s="2911">
        <v>2.0699999999999998</v>
      </c>
      <c r="L37" s="2912">
        <v>0.69</v>
      </c>
      <c r="N37" s="2899">
        <f t="shared" si="158"/>
        <v>2.0400000000000001E-2</v>
      </c>
      <c r="O37" s="2917">
        <f t="shared" si="154"/>
        <v>2.3300000000000001E-2</v>
      </c>
      <c r="P37" s="2917">
        <f t="shared" si="154"/>
        <v>2.07E-2</v>
      </c>
      <c r="Q37" s="2917">
        <f t="shared" si="154"/>
        <v>6.8999999999999999E-3</v>
      </c>
      <c r="R37" s="2900"/>
      <c r="S37" s="2899"/>
      <c r="T37" s="2885"/>
      <c r="U37" s="2885"/>
      <c r="V37" s="2885"/>
      <c r="X37" s="2943"/>
      <c r="Y37" s="2944"/>
    </row>
    <row r="38" spans="1:34">
      <c r="A38" s="2896" t="s">
        <v>2564</v>
      </c>
      <c r="B38" s="2897">
        <f t="shared" si="164"/>
        <v>282.50186729015837</v>
      </c>
      <c r="C38" s="2897">
        <f t="shared" si="164"/>
        <v>238.09796174155468</v>
      </c>
      <c r="D38" s="2897">
        <f t="shared" si="156"/>
        <v>238.09796174155468</v>
      </c>
      <c r="E38" s="2897">
        <f t="shared" si="165"/>
        <v>385.33438646014054</v>
      </c>
      <c r="F38" s="2897">
        <f t="shared" si="165"/>
        <v>221.55034055567739</v>
      </c>
      <c r="G38" s="3664"/>
      <c r="H38" s="2898">
        <v>1</v>
      </c>
      <c r="I38" s="2898">
        <v>1.67</v>
      </c>
      <c r="J38" s="2898">
        <v>1.31</v>
      </c>
      <c r="K38" s="2898">
        <v>1.85</v>
      </c>
      <c r="L38" s="2904">
        <v>0.96</v>
      </c>
      <c r="N38" s="2901">
        <f t="shared" si="158"/>
        <v>1.67E-2</v>
      </c>
      <c r="O38" s="2902">
        <f t="shared" si="154"/>
        <v>1.3100000000000001E-2</v>
      </c>
      <c r="P38" s="2902">
        <f t="shared" si="154"/>
        <v>1.8500000000000003E-2</v>
      </c>
      <c r="Q38" s="2902">
        <f t="shared" si="154"/>
        <v>9.5999999999999992E-3</v>
      </c>
      <c r="R38" s="2900"/>
      <c r="S38" s="2901">
        <f>B38/B39-1</f>
        <v>1.6193767230785472E-2</v>
      </c>
      <c r="T38" s="2902">
        <f>C38/C39-1</f>
        <v>1.7512657015190891E-2</v>
      </c>
      <c r="U38" s="2902">
        <f>E38/E39-1</f>
        <v>1.6713420739157048E-2</v>
      </c>
      <c r="V38" s="2902">
        <f>F38/F39-1</f>
        <v>7.0470025258062563E-3</v>
      </c>
      <c r="X38" s="2945"/>
      <c r="Y38" s="2885"/>
      <c r="Z38" s="2885"/>
    </row>
    <row r="39" spans="1:34" ht="13.5" thickBot="1">
      <c r="A39" s="2896" t="s">
        <v>2565</v>
      </c>
      <c r="B39" s="2946">
        <v>278</v>
      </c>
      <c r="C39" s="2946">
        <v>234</v>
      </c>
      <c r="D39" s="2946">
        <f t="shared" si="156"/>
        <v>234</v>
      </c>
      <c r="E39" s="2946">
        <v>379</v>
      </c>
      <c r="F39" s="2947">
        <v>220</v>
      </c>
      <c r="G39" s="3657">
        <v>2012</v>
      </c>
      <c r="H39" s="2920">
        <v>4</v>
      </c>
      <c r="I39" s="2920">
        <v>0.91</v>
      </c>
      <c r="J39" s="2920">
        <v>0.68</v>
      </c>
      <c r="K39" s="2920">
        <v>0.98</v>
      </c>
      <c r="L39" s="2921">
        <v>0.9</v>
      </c>
      <c r="N39" s="2899">
        <f t="shared" si="158"/>
        <v>9.1000000000000004E-3</v>
      </c>
      <c r="O39" s="2885">
        <f t="shared" si="158"/>
        <v>6.8000000000000005E-3</v>
      </c>
      <c r="P39" s="2885">
        <f t="shared" si="158"/>
        <v>9.7999999999999997E-3</v>
      </c>
      <c r="Q39" s="2885">
        <f t="shared" si="158"/>
        <v>9.0000000000000011E-3</v>
      </c>
      <c r="R39" s="2900"/>
      <c r="S39" s="2909"/>
      <c r="T39" s="2910"/>
      <c r="U39" s="2910"/>
      <c r="V39" s="2910"/>
      <c r="X39" s="2910"/>
      <c r="Y39" s="2910"/>
      <c r="Z39" s="2910"/>
    </row>
    <row r="40" spans="1:34">
      <c r="A40" s="2896" t="s">
        <v>2566</v>
      </c>
      <c r="B40" s="2897">
        <f>B39/(1+N39)</f>
        <v>275.49301357645425</v>
      </c>
      <c r="C40" s="2897">
        <f>C39/(1+O39)</f>
        <v>232.41954707985698</v>
      </c>
      <c r="D40" s="2897">
        <f t="shared" si="156"/>
        <v>232.41954707985698</v>
      </c>
      <c r="E40" s="2897">
        <f t="shared" ref="E40:F42" si="166">E39/(1+P39)</f>
        <v>375.32184591008121</v>
      </c>
      <c r="F40" s="2897">
        <f t="shared" si="166"/>
        <v>218.03766105054513</v>
      </c>
      <c r="G40" s="3655"/>
      <c r="H40" s="2923">
        <v>3</v>
      </c>
      <c r="I40" s="2923">
        <v>0.09</v>
      </c>
      <c r="J40" s="2923">
        <v>0.28999999999999998</v>
      </c>
      <c r="K40" s="2923">
        <v>-0.01</v>
      </c>
      <c r="L40" s="2924">
        <v>0.57999999999999996</v>
      </c>
      <c r="N40" s="2899">
        <f t="shared" si="158"/>
        <v>8.9999999999999998E-4</v>
      </c>
      <c r="O40" s="2885">
        <f t="shared" si="158"/>
        <v>2.8999999999999998E-3</v>
      </c>
      <c r="P40" s="2885">
        <f t="shared" si="158"/>
        <v>-1E-4</v>
      </c>
      <c r="Q40" s="2885">
        <f t="shared" si="158"/>
        <v>5.7999999999999996E-3</v>
      </c>
      <c r="R40" s="2900"/>
      <c r="S40" s="2899"/>
      <c r="T40" s="2885"/>
      <c r="U40" s="2885"/>
      <c r="V40" s="2885"/>
    </row>
    <row r="41" spans="1:34">
      <c r="A41" s="2896" t="s">
        <v>2567</v>
      </c>
      <c r="B41" s="2897">
        <f>B40/(1+N40)</f>
        <v>275.24529281292263</v>
      </c>
      <c r="C41" s="2897">
        <f>C40/(1+O40)</f>
        <v>231.74747938962707</v>
      </c>
      <c r="D41" s="2897">
        <f t="shared" si="156"/>
        <v>231.74747938962707</v>
      </c>
      <c r="E41" s="2897">
        <f t="shared" si="166"/>
        <v>375.35938184826603</v>
      </c>
      <c r="F41" s="2897">
        <f t="shared" si="166"/>
        <v>216.78033510692495</v>
      </c>
      <c r="G41" s="3655"/>
      <c r="H41" s="2911">
        <v>2</v>
      </c>
      <c r="I41" s="2911">
        <v>0.02</v>
      </c>
      <c r="J41" s="2911">
        <v>0.12</v>
      </c>
      <c r="K41" s="2911">
        <v>-0.08</v>
      </c>
      <c r="L41" s="2912">
        <v>1.24</v>
      </c>
      <c r="N41" s="2899">
        <f t="shared" si="158"/>
        <v>2.0000000000000001E-4</v>
      </c>
      <c r="O41" s="2885">
        <f t="shared" si="158"/>
        <v>1.1999999999999999E-3</v>
      </c>
      <c r="P41" s="2885">
        <f t="shared" si="158"/>
        <v>-8.0000000000000004E-4</v>
      </c>
      <c r="Q41" s="2885">
        <f t="shared" si="158"/>
        <v>1.24E-2</v>
      </c>
      <c r="R41" s="2900"/>
      <c r="S41" s="2899"/>
      <c r="T41" s="2885"/>
      <c r="U41" s="2885"/>
      <c r="V41" s="2885"/>
    </row>
    <row r="42" spans="1:34" ht="13.5" thickBot="1">
      <c r="A42" s="2896" t="s">
        <v>2568</v>
      </c>
      <c r="B42" s="2897">
        <f>B41/(1+N41)</f>
        <v>275.19025476197027</v>
      </c>
      <c r="C42" s="2948">
        <v>232</v>
      </c>
      <c r="D42" s="2948">
        <f t="shared" si="156"/>
        <v>232</v>
      </c>
      <c r="E42" s="2897">
        <f t="shared" si="166"/>
        <v>375.65990977608692</v>
      </c>
      <c r="F42" s="2897">
        <f t="shared" si="166"/>
        <v>214.12518283971252</v>
      </c>
      <c r="G42" s="3658"/>
      <c r="H42" s="2898">
        <v>1</v>
      </c>
      <c r="I42" s="2898">
        <v>0.02</v>
      </c>
      <c r="J42" s="2898">
        <v>0.13</v>
      </c>
      <c r="K42" s="2898">
        <v>-0.04</v>
      </c>
      <c r="L42" s="2904">
        <v>0.46</v>
      </c>
      <c r="N42" s="2899">
        <f t="shared" si="158"/>
        <v>2.0000000000000001E-4</v>
      </c>
      <c r="O42" s="2885">
        <f t="shared" si="158"/>
        <v>1.2999999999999999E-3</v>
      </c>
      <c r="P42" s="2885">
        <f t="shared" si="158"/>
        <v>-4.0000000000000002E-4</v>
      </c>
      <c r="Q42" s="2885">
        <f t="shared" si="158"/>
        <v>4.5999999999999999E-3</v>
      </c>
      <c r="R42" s="2900"/>
      <c r="S42" s="2901">
        <f>B42/B43-1</f>
        <v>6.9183549807361189E-4</v>
      </c>
      <c r="T42" s="2902">
        <f>C42/C43-1</f>
        <v>0</v>
      </c>
      <c r="U42" s="2902">
        <f>E42/E43-1</f>
        <v>-9.0449527636460303E-4</v>
      </c>
      <c r="V42" s="2902">
        <f>F42/F43-1</f>
        <v>5.2825485432512753E-3</v>
      </c>
      <c r="X42" s="2885"/>
      <c r="Y42" s="2885"/>
      <c r="Z42" s="2885"/>
    </row>
    <row r="43" spans="1:34" ht="13.5" thickBot="1">
      <c r="A43" s="2896" t="s">
        <v>2569</v>
      </c>
      <c r="B43" s="2918">
        <v>275</v>
      </c>
      <c r="C43" s="2918">
        <v>232</v>
      </c>
      <c r="D43" s="2918">
        <f t="shared" si="156"/>
        <v>232</v>
      </c>
      <c r="E43" s="2918">
        <v>376</v>
      </c>
      <c r="F43" s="2919">
        <v>213</v>
      </c>
      <c r="G43" s="3657">
        <v>2011</v>
      </c>
      <c r="H43" s="2920">
        <v>4</v>
      </c>
      <c r="I43" s="2920">
        <v>-0.2</v>
      </c>
      <c r="J43" s="2920">
        <v>0.04</v>
      </c>
      <c r="K43" s="2920">
        <v>-0.34</v>
      </c>
      <c r="L43" s="2921">
        <v>0.46</v>
      </c>
      <c r="N43" s="2915">
        <f t="shared" si="158"/>
        <v>-2E-3</v>
      </c>
      <c r="O43" s="2916">
        <f t="shared" si="158"/>
        <v>4.0000000000000002E-4</v>
      </c>
      <c r="P43" s="2916">
        <f t="shared" si="158"/>
        <v>-3.4000000000000002E-3</v>
      </c>
      <c r="Q43" s="2916">
        <f t="shared" si="158"/>
        <v>4.5999999999999999E-3</v>
      </c>
      <c r="R43" s="2900"/>
      <c r="S43" s="2909"/>
      <c r="T43" s="2910"/>
      <c r="U43" s="2910"/>
      <c r="V43" s="2910"/>
      <c r="X43" s="2910"/>
      <c r="Y43" s="2910"/>
      <c r="Z43" s="2910"/>
    </row>
    <row r="44" spans="1:34">
      <c r="A44" s="2896" t="s">
        <v>2570</v>
      </c>
      <c r="B44" s="2897">
        <f t="shared" ref="B44:C46" si="167">B43/(1+N43)</f>
        <v>275.55110220440883</v>
      </c>
      <c r="C44" s="2897">
        <f t="shared" si="167"/>
        <v>231.90723710515795</v>
      </c>
      <c r="D44" s="2897">
        <f t="shared" si="156"/>
        <v>231.90723710515795</v>
      </c>
      <c r="E44" s="2897">
        <f t="shared" ref="E44:F46" si="168">E43/(1+P43)</f>
        <v>377.28276138872161</v>
      </c>
      <c r="F44" s="2897">
        <f t="shared" si="168"/>
        <v>212.02468644236512</v>
      </c>
      <c r="G44" s="3655">
        <v>2011</v>
      </c>
      <c r="H44" s="2923">
        <v>3</v>
      </c>
      <c r="I44" s="2923">
        <v>0.13</v>
      </c>
      <c r="J44" s="2923">
        <v>0.75</v>
      </c>
      <c r="K44" s="2923">
        <v>-0.08</v>
      </c>
      <c r="L44" s="2924">
        <v>0.53</v>
      </c>
      <c r="N44" s="2899">
        <f t="shared" si="158"/>
        <v>1.2999999999999999E-3</v>
      </c>
      <c r="O44" s="2917">
        <f t="shared" si="158"/>
        <v>7.4999999999999997E-3</v>
      </c>
      <c r="P44" s="2917">
        <f t="shared" si="158"/>
        <v>-8.0000000000000004E-4</v>
      </c>
      <c r="Q44" s="2917">
        <f t="shared" si="158"/>
        <v>5.3E-3</v>
      </c>
      <c r="R44" s="2900"/>
      <c r="S44" s="2899"/>
      <c r="T44" s="2885"/>
      <c r="U44" s="2885"/>
      <c r="V44" s="2885"/>
    </row>
    <row r="45" spans="1:34">
      <c r="A45" s="2896" t="s">
        <v>2571</v>
      </c>
      <c r="B45" s="2897">
        <f t="shared" si="167"/>
        <v>275.19335084830601</v>
      </c>
      <c r="C45" s="2897">
        <f t="shared" si="167"/>
        <v>230.18088050139744</v>
      </c>
      <c r="D45" s="2897">
        <f t="shared" si="156"/>
        <v>230.18088050139744</v>
      </c>
      <c r="E45" s="2897">
        <f t="shared" si="168"/>
        <v>377.58482925212331</v>
      </c>
      <c r="F45" s="2897">
        <f t="shared" si="168"/>
        <v>210.90687997847917</v>
      </c>
      <c r="G45" s="3655">
        <v>2011</v>
      </c>
      <c r="H45" s="2911">
        <v>2</v>
      </c>
      <c r="I45" s="2911">
        <v>-0.4</v>
      </c>
      <c r="J45" s="2911">
        <v>0.17</v>
      </c>
      <c r="K45" s="2911">
        <v>-0.57999999999999996</v>
      </c>
      <c r="L45" s="2912">
        <v>-0.2</v>
      </c>
      <c r="N45" s="2899">
        <f t="shared" si="158"/>
        <v>-4.0000000000000001E-3</v>
      </c>
      <c r="O45" s="2917">
        <f t="shared" si="158"/>
        <v>1.7000000000000001E-3</v>
      </c>
      <c r="P45" s="2917">
        <f t="shared" si="158"/>
        <v>-5.7999999999999996E-3</v>
      </c>
      <c r="Q45" s="2917">
        <f t="shared" si="158"/>
        <v>-2E-3</v>
      </c>
      <c r="R45" s="2900"/>
      <c r="S45" s="2899"/>
      <c r="T45" s="2885"/>
      <c r="U45" s="2885"/>
      <c r="V45" s="2885"/>
    </row>
    <row r="46" spans="1:34" ht="13.5" thickBot="1">
      <c r="A46" s="2896" t="s">
        <v>2572</v>
      </c>
      <c r="B46" s="2897">
        <f t="shared" si="167"/>
        <v>276.29854502841971</v>
      </c>
      <c r="C46" s="2897">
        <f t="shared" si="167"/>
        <v>229.79023709833027</v>
      </c>
      <c r="D46" s="2897">
        <f t="shared" si="156"/>
        <v>229.79023709833027</v>
      </c>
      <c r="E46" s="2897">
        <f t="shared" si="168"/>
        <v>379.78759731655936</v>
      </c>
      <c r="F46" s="2897">
        <f t="shared" si="168"/>
        <v>211.32953905659235</v>
      </c>
      <c r="G46" s="3658">
        <v>2011</v>
      </c>
      <c r="H46" s="2898">
        <v>1</v>
      </c>
      <c r="I46" s="2898">
        <v>2.65</v>
      </c>
      <c r="J46" s="2898">
        <v>3.76</v>
      </c>
      <c r="K46" s="2898">
        <v>1.89</v>
      </c>
      <c r="L46" s="2904">
        <v>7.95</v>
      </c>
      <c r="N46" s="2901">
        <f t="shared" si="158"/>
        <v>2.6499999999999999E-2</v>
      </c>
      <c r="O46" s="2902">
        <f t="shared" si="158"/>
        <v>3.7599999999999995E-2</v>
      </c>
      <c r="P46" s="2902">
        <f t="shared" si="158"/>
        <v>1.89E-2</v>
      </c>
      <c r="Q46" s="2902">
        <f t="shared" si="158"/>
        <v>7.9500000000000001E-2</v>
      </c>
      <c r="R46" s="2900"/>
      <c r="S46" s="2901">
        <f>B46/B47-1</f>
        <v>2.713213765211786E-2</v>
      </c>
      <c r="T46" s="2902">
        <f>C46/C47-1</f>
        <v>3.9774828499231862E-2</v>
      </c>
      <c r="U46" s="2902">
        <f>E46/E47-1</f>
        <v>1.8197311840641772E-2</v>
      </c>
      <c r="V46" s="2902">
        <f>F46/F47-1</f>
        <v>7.8211933962205826E-2</v>
      </c>
      <c r="X46" s="2885"/>
      <c r="Y46" s="2885"/>
      <c r="Z46" s="2885"/>
    </row>
    <row r="47" spans="1:34" ht="13.5" thickBot="1">
      <c r="A47" s="2896" t="s">
        <v>2573</v>
      </c>
      <c r="B47" s="2918">
        <v>269</v>
      </c>
      <c r="C47" s="2918">
        <v>221</v>
      </c>
      <c r="D47" s="2918">
        <f t="shared" si="156"/>
        <v>221</v>
      </c>
      <c r="E47" s="2918">
        <v>373</v>
      </c>
      <c r="F47" s="2919">
        <v>196</v>
      </c>
      <c r="G47" s="3657">
        <v>2010</v>
      </c>
      <c r="H47" s="2920">
        <v>4</v>
      </c>
      <c r="I47" s="2920">
        <v>5.72</v>
      </c>
      <c r="J47" s="2920">
        <v>6.57</v>
      </c>
      <c r="K47" s="2920">
        <v>5.72</v>
      </c>
      <c r="L47" s="2921">
        <v>2.72</v>
      </c>
      <c r="N47" s="2899">
        <f t="shared" si="158"/>
        <v>5.7200000000000001E-2</v>
      </c>
      <c r="O47" s="2885">
        <f t="shared" si="158"/>
        <v>6.5700000000000008E-2</v>
      </c>
      <c r="P47" s="2885">
        <f t="shared" si="158"/>
        <v>5.7200000000000001E-2</v>
      </c>
      <c r="Q47" s="2885">
        <f t="shared" si="158"/>
        <v>2.7200000000000002E-2</v>
      </c>
      <c r="R47" s="2900"/>
      <c r="S47" s="2909"/>
      <c r="T47" s="2910"/>
      <c r="U47" s="2910"/>
      <c r="V47" s="2910"/>
      <c r="X47" s="2910"/>
      <c r="Y47" s="2910"/>
      <c r="Z47" s="2910"/>
    </row>
    <row r="48" spans="1:34">
      <c r="A48" s="2896" t="s">
        <v>2574</v>
      </c>
      <c r="B48" s="2897">
        <f t="shared" ref="B48:C50" si="169">B47/(1+N47)</f>
        <v>254.44570563753314</v>
      </c>
      <c r="C48" s="2897">
        <f t="shared" si="169"/>
        <v>207.37543398705074</v>
      </c>
      <c r="D48" s="2897">
        <f t="shared" si="156"/>
        <v>207.37543398705074</v>
      </c>
      <c r="E48" s="2897">
        <f t="shared" ref="E48:F50" si="170">E47/(1+P47)</f>
        <v>352.81876655315932</v>
      </c>
      <c r="F48" s="2897">
        <f t="shared" si="170"/>
        <v>190.809968847352</v>
      </c>
      <c r="G48" s="3655">
        <v>2010</v>
      </c>
      <c r="H48" s="2923">
        <v>3</v>
      </c>
      <c r="I48" s="2923">
        <v>4.7300000000000004</v>
      </c>
      <c r="J48" s="2923">
        <v>3.9</v>
      </c>
      <c r="K48" s="2923">
        <v>5.03</v>
      </c>
      <c r="L48" s="2924">
        <v>4.21</v>
      </c>
      <c r="N48" s="2899">
        <f t="shared" si="158"/>
        <v>4.7300000000000002E-2</v>
      </c>
      <c r="O48" s="2885">
        <f t="shared" si="158"/>
        <v>3.9E-2</v>
      </c>
      <c r="P48" s="2885">
        <f t="shared" si="158"/>
        <v>5.0300000000000004E-2</v>
      </c>
      <c r="Q48" s="2885">
        <f t="shared" si="158"/>
        <v>4.2099999999999999E-2</v>
      </c>
      <c r="R48" s="2900"/>
      <c r="S48" s="2899"/>
      <c r="T48" s="2885"/>
      <c r="U48" s="2885"/>
      <c r="V48" s="2885"/>
    </row>
    <row r="49" spans="1:26">
      <c r="A49" s="2896" t="s">
        <v>2575</v>
      </c>
      <c r="B49" s="2897">
        <f t="shared" si="169"/>
        <v>242.95398227588385</v>
      </c>
      <c r="C49" s="2897">
        <f t="shared" si="169"/>
        <v>199.59137053614126</v>
      </c>
      <c r="D49" s="2897">
        <f t="shared" si="156"/>
        <v>199.59137053614126</v>
      </c>
      <c r="E49" s="2897">
        <f t="shared" si="170"/>
        <v>335.92189522342125</v>
      </c>
      <c r="F49" s="2897">
        <f t="shared" si="170"/>
        <v>183.10139991109489</v>
      </c>
      <c r="G49" s="3655">
        <v>2010</v>
      </c>
      <c r="H49" s="2911">
        <v>2</v>
      </c>
      <c r="I49" s="2911">
        <v>4.6900000000000004</v>
      </c>
      <c r="J49" s="2911">
        <v>3.55</v>
      </c>
      <c r="K49" s="2911">
        <v>5.07</v>
      </c>
      <c r="L49" s="2912">
        <v>4.2300000000000004</v>
      </c>
      <c r="N49" s="2899">
        <f t="shared" si="158"/>
        <v>4.6900000000000004E-2</v>
      </c>
      <c r="O49" s="2885">
        <f t="shared" si="158"/>
        <v>3.5499999999999997E-2</v>
      </c>
      <c r="P49" s="2885">
        <f t="shared" si="158"/>
        <v>5.0700000000000002E-2</v>
      </c>
      <c r="Q49" s="2885">
        <f t="shared" si="158"/>
        <v>4.2300000000000004E-2</v>
      </c>
      <c r="R49" s="2900"/>
      <c r="S49" s="2899"/>
      <c r="T49" s="2885"/>
      <c r="U49" s="2885"/>
      <c r="V49" s="2885"/>
    </row>
    <row r="50" spans="1:26" ht="13.5" thickBot="1">
      <c r="A50" s="2896" t="s">
        <v>2576</v>
      </c>
      <c r="B50" s="2897">
        <f t="shared" si="169"/>
        <v>232.06990378821649</v>
      </c>
      <c r="C50" s="2897">
        <f t="shared" si="169"/>
        <v>192.74878854286936</v>
      </c>
      <c r="D50" s="2897">
        <f t="shared" si="156"/>
        <v>192.74878854286936</v>
      </c>
      <c r="E50" s="2897">
        <f t="shared" si="170"/>
        <v>319.71247284992984</v>
      </c>
      <c r="F50" s="2897">
        <f t="shared" si="170"/>
        <v>175.67053622862409</v>
      </c>
      <c r="G50" s="3658">
        <v>2010</v>
      </c>
      <c r="H50" s="2898">
        <v>1</v>
      </c>
      <c r="I50" s="2898">
        <v>5.4</v>
      </c>
      <c r="J50" s="2898">
        <v>3.2</v>
      </c>
      <c r="K50" s="2898">
        <v>6.16</v>
      </c>
      <c r="L50" s="2904">
        <v>4.51</v>
      </c>
      <c r="N50" s="2899">
        <f t="shared" si="158"/>
        <v>5.4000000000000006E-2</v>
      </c>
      <c r="O50" s="2885">
        <f t="shared" si="158"/>
        <v>3.2000000000000001E-2</v>
      </c>
      <c r="P50" s="2885">
        <f t="shared" si="158"/>
        <v>6.1600000000000002E-2</v>
      </c>
      <c r="Q50" s="2885">
        <f t="shared" si="158"/>
        <v>4.5100000000000001E-2</v>
      </c>
      <c r="R50" s="2900"/>
      <c r="S50" s="2901">
        <f>B50/B51-1</f>
        <v>5.4863199037347599E-2</v>
      </c>
      <c r="T50" s="2902">
        <f>C50/C51-1</f>
        <v>3.0742184721226584E-2</v>
      </c>
      <c r="U50" s="2902">
        <f>E50/E51-1</f>
        <v>6.2167683886810154E-2</v>
      </c>
      <c r="V50" s="2902">
        <f>F50/F51-1</f>
        <v>4.5657953741810031E-2</v>
      </c>
      <c r="X50" s="2885"/>
      <c r="Y50" s="2885"/>
      <c r="Z50" s="2885"/>
    </row>
    <row r="51" spans="1:26" ht="13.5" thickBot="1">
      <c r="A51" s="2896" t="s">
        <v>2577</v>
      </c>
      <c r="B51" s="2918">
        <v>220</v>
      </c>
      <c r="C51" s="2918">
        <v>187</v>
      </c>
      <c r="D51" s="2918">
        <f t="shared" si="156"/>
        <v>187</v>
      </c>
      <c r="E51" s="2918">
        <v>301</v>
      </c>
      <c r="F51" s="2919">
        <v>168</v>
      </c>
      <c r="G51" s="3657">
        <v>2009</v>
      </c>
      <c r="H51" s="2920">
        <v>4</v>
      </c>
      <c r="I51" s="2920">
        <v>2.2999999999999998</v>
      </c>
      <c r="J51" s="2920">
        <v>1.04</v>
      </c>
      <c r="K51" s="2920">
        <v>2.84</v>
      </c>
      <c r="L51" s="2921">
        <v>0.67</v>
      </c>
      <c r="N51" s="2915">
        <f t="shared" si="158"/>
        <v>2.3E-2</v>
      </c>
      <c r="O51" s="2916">
        <f t="shared" si="158"/>
        <v>1.04E-2</v>
      </c>
      <c r="P51" s="2916">
        <f t="shared" si="158"/>
        <v>2.8399999999999998E-2</v>
      </c>
      <c r="Q51" s="2916">
        <f t="shared" si="158"/>
        <v>6.7000000000000002E-3</v>
      </c>
      <c r="R51" s="2900"/>
      <c r="S51" s="2909"/>
      <c r="T51" s="2910"/>
      <c r="U51" s="2910"/>
      <c r="V51" s="2910"/>
      <c r="X51" s="2910"/>
      <c r="Y51" s="2910"/>
      <c r="Z51" s="2910"/>
    </row>
    <row r="52" spans="1:26">
      <c r="A52" s="2896" t="s">
        <v>2578</v>
      </c>
      <c r="B52" s="2897">
        <f t="shared" ref="B52:C54" si="171">B51/(1+N51)</f>
        <v>215.05376344086022</v>
      </c>
      <c r="C52" s="2897">
        <f t="shared" si="171"/>
        <v>185.0752177355503</v>
      </c>
      <c r="D52" s="2897">
        <f t="shared" si="156"/>
        <v>185.0752177355503</v>
      </c>
      <c r="E52" s="2897">
        <f t="shared" ref="E52:F54" si="172">E51/(1+P51)</f>
        <v>292.68767016725008</v>
      </c>
      <c r="F52" s="2897">
        <f t="shared" si="172"/>
        <v>166.88189132810174</v>
      </c>
      <c r="G52" s="3655">
        <v>2009</v>
      </c>
      <c r="H52" s="2923">
        <v>3</v>
      </c>
      <c r="I52" s="2923">
        <v>2.1</v>
      </c>
      <c r="J52" s="2923">
        <v>1.86</v>
      </c>
      <c r="K52" s="2923">
        <v>2.29</v>
      </c>
      <c r="L52" s="2924">
        <v>0.85</v>
      </c>
      <c r="N52" s="2899">
        <f t="shared" si="158"/>
        <v>2.1000000000000001E-2</v>
      </c>
      <c r="O52" s="2917">
        <f t="shared" si="158"/>
        <v>1.8600000000000002E-2</v>
      </c>
      <c r="P52" s="2917">
        <f t="shared" si="158"/>
        <v>2.29E-2</v>
      </c>
      <c r="Q52" s="2917">
        <f t="shared" si="158"/>
        <v>8.5000000000000006E-3</v>
      </c>
      <c r="R52" s="2900"/>
      <c r="S52" s="2899"/>
      <c r="T52" s="2885"/>
      <c r="U52" s="2885"/>
      <c r="V52" s="2885"/>
    </row>
    <row r="53" spans="1:26">
      <c r="A53" s="2896" t="s">
        <v>2579</v>
      </c>
      <c r="B53" s="2897">
        <f t="shared" si="171"/>
        <v>210.630522469011</v>
      </c>
      <c r="C53" s="2897">
        <f t="shared" si="171"/>
        <v>181.69567812247232</v>
      </c>
      <c r="D53" s="2897">
        <f t="shared" si="156"/>
        <v>181.69567812247232</v>
      </c>
      <c r="E53" s="2897">
        <f t="shared" si="172"/>
        <v>286.13517466736738</v>
      </c>
      <c r="F53" s="2897">
        <f t="shared" si="172"/>
        <v>165.47535084591149</v>
      </c>
      <c r="G53" s="3655">
        <v>2009</v>
      </c>
      <c r="H53" s="2911">
        <v>2</v>
      </c>
      <c r="I53" s="2911">
        <v>0.86</v>
      </c>
      <c r="J53" s="2911">
        <v>-1.1299999999999999</v>
      </c>
      <c r="K53" s="2911">
        <v>1.79</v>
      </c>
      <c r="L53" s="2912">
        <v>-2.0699999999999998</v>
      </c>
      <c r="N53" s="2899">
        <f t="shared" si="158"/>
        <v>8.6E-3</v>
      </c>
      <c r="O53" s="2917">
        <f t="shared" si="158"/>
        <v>-1.1299999999999999E-2</v>
      </c>
      <c r="P53" s="2917">
        <f t="shared" si="158"/>
        <v>1.7899999999999999E-2</v>
      </c>
      <c r="Q53" s="2917">
        <f t="shared" si="158"/>
        <v>-2.07E-2</v>
      </c>
      <c r="R53" s="2900"/>
      <c r="S53" s="2899"/>
      <c r="T53" s="2885"/>
      <c r="U53" s="2885"/>
      <c r="V53" s="2885"/>
    </row>
    <row r="54" spans="1:26">
      <c r="A54" s="2896" t="s">
        <v>2580</v>
      </c>
      <c r="B54" s="2897">
        <f t="shared" si="171"/>
        <v>208.83454537875372</v>
      </c>
      <c r="C54" s="2897">
        <f t="shared" si="171"/>
        <v>183.77230517090351</v>
      </c>
      <c r="D54" s="2897">
        <f t="shared" si="156"/>
        <v>183.77230517090351</v>
      </c>
      <c r="E54" s="2897">
        <f t="shared" si="172"/>
        <v>281.10342338870947</v>
      </c>
      <c r="F54" s="2897">
        <f t="shared" si="172"/>
        <v>168.97309388942256</v>
      </c>
      <c r="G54" s="3658">
        <v>2009</v>
      </c>
      <c r="H54" s="2898">
        <v>1</v>
      </c>
      <c r="I54" s="2898">
        <v>-2.64</v>
      </c>
      <c r="J54" s="2898">
        <v>-2.5299999999999998</v>
      </c>
      <c r="K54" s="2898">
        <v>-3.02</v>
      </c>
      <c r="L54" s="2904">
        <v>1.52</v>
      </c>
      <c r="N54" s="2901">
        <f t="shared" si="158"/>
        <v>-2.64E-2</v>
      </c>
      <c r="O54" s="2902">
        <f t="shared" si="158"/>
        <v>-2.53E-2</v>
      </c>
      <c r="P54" s="2902">
        <f t="shared" si="158"/>
        <v>-3.0200000000000001E-2</v>
      </c>
      <c r="Q54" s="2902">
        <f t="shared" si="158"/>
        <v>1.52E-2</v>
      </c>
      <c r="R54" s="2900"/>
      <c r="S54" s="2901">
        <f>B54/B55-1</f>
        <v>-2.4137638417038754E-2</v>
      </c>
      <c r="T54" s="2902">
        <f>C54/C55-1</f>
        <v>-2.248773845264096E-2</v>
      </c>
      <c r="U54" s="2902">
        <f>E54/E55-1</f>
        <v>-2.7323794502735366E-2</v>
      </c>
      <c r="V54" s="2902">
        <f>F54/F55-1</f>
        <v>1.7910204153148035E-2</v>
      </c>
      <c r="X54" s="2885"/>
      <c r="Y54" s="2885"/>
      <c r="Z54" s="2885"/>
    </row>
    <row r="55" spans="1:26" ht="13.5" thickBot="1">
      <c r="A55" s="2896" t="s">
        <v>2581</v>
      </c>
      <c r="B55" s="2946">
        <v>214</v>
      </c>
      <c r="C55" s="2946">
        <v>188</v>
      </c>
      <c r="D55" s="2946">
        <f t="shared" si="156"/>
        <v>188</v>
      </c>
      <c r="E55" s="2946">
        <v>289</v>
      </c>
      <c r="F55" s="2947">
        <v>166</v>
      </c>
      <c r="G55" s="3657">
        <v>2008</v>
      </c>
      <c r="H55" s="2920">
        <v>4</v>
      </c>
      <c r="I55" s="2920">
        <v>1.73</v>
      </c>
      <c r="J55" s="2920">
        <v>0.03</v>
      </c>
      <c r="K55" s="2920">
        <v>2.59</v>
      </c>
      <c r="L55" s="2921">
        <v>-1.66</v>
      </c>
      <c r="N55" s="2899">
        <f t="shared" si="158"/>
        <v>1.7299999999999999E-2</v>
      </c>
      <c r="O55" s="2885">
        <f t="shared" si="158"/>
        <v>2.9999999999999997E-4</v>
      </c>
      <c r="P55" s="2885">
        <f t="shared" si="158"/>
        <v>2.5899999999999999E-2</v>
      </c>
      <c r="Q55" s="2885">
        <f t="shared" si="158"/>
        <v>-1.66E-2</v>
      </c>
      <c r="R55" s="2900"/>
      <c r="S55" s="2909"/>
      <c r="T55" s="2910"/>
      <c r="U55" s="2910"/>
      <c r="V55" s="2910"/>
      <c r="X55" s="2910"/>
      <c r="Y55" s="2910"/>
      <c r="Z55" s="2910"/>
    </row>
    <row r="56" spans="1:26">
      <c r="A56" s="2896" t="s">
        <v>2582</v>
      </c>
      <c r="B56" s="2897">
        <f t="shared" ref="B56:C58" si="173">B55/(1+N55)</f>
        <v>210.36075887152265</v>
      </c>
      <c r="C56" s="2897">
        <f t="shared" si="173"/>
        <v>187.94361691492554</v>
      </c>
      <c r="D56" s="2897">
        <f t="shared" si="156"/>
        <v>187.94361691492554</v>
      </c>
      <c r="E56" s="2897">
        <f t="shared" ref="E56:F58" si="174">E55/(1+P55)</f>
        <v>281.70386977288234</v>
      </c>
      <c r="F56" s="2897">
        <f t="shared" si="174"/>
        <v>168.80211511083994</v>
      </c>
      <c r="G56" s="3655">
        <v>2008</v>
      </c>
      <c r="H56" s="2923">
        <v>3</v>
      </c>
      <c r="I56" s="2923">
        <v>1.96</v>
      </c>
      <c r="J56" s="2923">
        <v>2.36</v>
      </c>
      <c r="K56" s="2923">
        <v>1.82</v>
      </c>
      <c r="L56" s="2924">
        <v>2.2200000000000002</v>
      </c>
      <c r="N56" s="2899">
        <f t="shared" si="158"/>
        <v>1.9599999999999999E-2</v>
      </c>
      <c r="O56" s="2885">
        <f t="shared" si="158"/>
        <v>2.3599999999999999E-2</v>
      </c>
      <c r="P56" s="2885">
        <f t="shared" si="158"/>
        <v>1.8200000000000001E-2</v>
      </c>
      <c r="Q56" s="2885">
        <f t="shared" si="158"/>
        <v>2.2200000000000001E-2</v>
      </c>
      <c r="R56" s="2900"/>
      <c r="S56" s="2899"/>
      <c r="T56" s="2885"/>
      <c r="U56" s="2885"/>
      <c r="V56" s="2885"/>
    </row>
    <row r="57" spans="1:26">
      <c r="A57" s="2896" t="s">
        <v>2583</v>
      </c>
      <c r="B57" s="2897">
        <f t="shared" si="173"/>
        <v>206.31694671589116</v>
      </c>
      <c r="C57" s="2897">
        <f t="shared" si="173"/>
        <v>183.61041121036101</v>
      </c>
      <c r="D57" s="2897">
        <f t="shared" si="156"/>
        <v>183.61041121036101</v>
      </c>
      <c r="E57" s="2897">
        <f t="shared" si="174"/>
        <v>276.66850301795557</v>
      </c>
      <c r="F57" s="2897">
        <f t="shared" si="174"/>
        <v>165.1360938278614</v>
      </c>
      <c r="G57" s="3655">
        <v>2008</v>
      </c>
      <c r="H57" s="2911">
        <v>2</v>
      </c>
      <c r="I57" s="2911">
        <v>4.93</v>
      </c>
      <c r="J57" s="2911">
        <v>7.38</v>
      </c>
      <c r="K57" s="2911">
        <v>3.98</v>
      </c>
      <c r="L57" s="2912">
        <v>6.86</v>
      </c>
      <c r="N57" s="2899">
        <f t="shared" si="158"/>
        <v>4.9299999999999997E-2</v>
      </c>
      <c r="O57" s="2885">
        <f t="shared" si="158"/>
        <v>7.3800000000000004E-2</v>
      </c>
      <c r="P57" s="2885">
        <f t="shared" si="158"/>
        <v>3.9800000000000002E-2</v>
      </c>
      <c r="Q57" s="2885">
        <f t="shared" si="158"/>
        <v>6.8600000000000008E-2</v>
      </c>
      <c r="R57" s="2900"/>
      <c r="S57" s="2899"/>
      <c r="T57" s="2885"/>
      <c r="U57" s="2885"/>
      <c r="V57" s="2885"/>
    </row>
    <row r="58" spans="1:26" s="2952" customFormat="1" ht="13.5" thickBot="1">
      <c r="A58" s="2896" t="s">
        <v>2584</v>
      </c>
      <c r="B58" s="2949">
        <f t="shared" si="173"/>
        <v>196.62341248059772</v>
      </c>
      <c r="C58" s="2949">
        <f t="shared" si="173"/>
        <v>170.99125648199012</v>
      </c>
      <c r="D58" s="2949">
        <f t="shared" si="156"/>
        <v>170.99125648199012</v>
      </c>
      <c r="E58" s="2949">
        <f t="shared" si="174"/>
        <v>266.07857570490052</v>
      </c>
      <c r="F58" s="2949">
        <f t="shared" si="174"/>
        <v>154.53499328828505</v>
      </c>
      <c r="G58" s="3658">
        <v>2008</v>
      </c>
      <c r="H58" s="2950">
        <v>1</v>
      </c>
      <c r="I58" s="2950">
        <v>4.1399999999999997</v>
      </c>
      <c r="J58" s="2950">
        <v>3.45</v>
      </c>
      <c r="K58" s="2950">
        <v>4.95</v>
      </c>
      <c r="L58" s="2951">
        <v>4.82</v>
      </c>
      <c r="N58" s="2953">
        <f t="shared" si="158"/>
        <v>4.1399999999999999E-2</v>
      </c>
      <c r="O58" s="2954">
        <f t="shared" si="158"/>
        <v>3.4500000000000003E-2</v>
      </c>
      <c r="P58" s="2954">
        <f t="shared" si="158"/>
        <v>4.9500000000000002E-2</v>
      </c>
      <c r="Q58" s="2954">
        <f t="shared" si="158"/>
        <v>4.82E-2</v>
      </c>
      <c r="R58" s="2955"/>
      <c r="S58" s="2953">
        <f>B58/B59-1</f>
        <v>4.5869215322328349E-2</v>
      </c>
      <c r="T58" s="2954">
        <f>C58/C59-1</f>
        <v>3.6310645345394743E-2</v>
      </c>
      <c r="U58" s="2954">
        <f>E58/E59-1</f>
        <v>4.7553447657088688E-2</v>
      </c>
      <c r="V58" s="2954">
        <f>F58/F59-1</f>
        <v>4.4155360055980086E-2</v>
      </c>
      <c r="X58" s="2954"/>
      <c r="Y58" s="2954"/>
      <c r="Z58" s="2954"/>
    </row>
    <row r="59" spans="1:26" ht="13.5" thickBot="1">
      <c r="A59" s="2896" t="s">
        <v>2585</v>
      </c>
      <c r="B59" s="2918">
        <v>188</v>
      </c>
      <c r="C59" s="2918">
        <v>165</v>
      </c>
      <c r="D59" s="2918">
        <f t="shared" si="156"/>
        <v>165</v>
      </c>
      <c r="E59" s="2918">
        <v>254</v>
      </c>
      <c r="F59" s="2919">
        <v>148</v>
      </c>
      <c r="G59" s="3657">
        <v>2007</v>
      </c>
      <c r="H59" s="2956">
        <v>4</v>
      </c>
      <c r="I59" s="2956">
        <v>5.51</v>
      </c>
      <c r="J59" s="2956">
        <v>4.8899999999999997</v>
      </c>
      <c r="K59" s="2956">
        <v>6.43</v>
      </c>
      <c r="L59" s="2957">
        <v>5.36</v>
      </c>
      <c r="N59" s="2958">
        <f t="shared" ref="N59:O62" si="175">B59/B60-1</f>
        <v>4.1339718365245526E-2</v>
      </c>
      <c r="O59" s="2959">
        <f t="shared" si="175"/>
        <v>4.0324492593776018E-2</v>
      </c>
      <c r="P59" s="2959">
        <f t="shared" ref="P59:Q62" si="176">E59/E60-1</f>
        <v>6.1625555347990968E-2</v>
      </c>
      <c r="Q59" s="2959">
        <f t="shared" si="176"/>
        <v>4.6757569250590603E-2</v>
      </c>
      <c r="R59" s="2900"/>
      <c r="S59" s="2909"/>
      <c r="T59" s="2910"/>
      <c r="U59" s="2910"/>
      <c r="V59" s="2910"/>
      <c r="X59" s="2910"/>
      <c r="Y59" s="2910"/>
      <c r="Z59" s="2910"/>
    </row>
    <row r="60" spans="1:26">
      <c r="A60" s="2896" t="s">
        <v>2586</v>
      </c>
      <c r="B60" s="2897">
        <f t="shared" ref="B60:C62" si="177">B61+(B$59-B$63)*I60/SUM(I$59:I$62)</f>
        <v>180.5366651097618</v>
      </c>
      <c r="C60" s="2897">
        <f t="shared" si="177"/>
        <v>158.60435967302453</v>
      </c>
      <c r="D60" s="2897">
        <f t="shared" si="156"/>
        <v>158.60435967302453</v>
      </c>
      <c r="E60" s="2897">
        <f t="shared" ref="E60:F62" si="178">E61+(E$59-E$63)*K60/SUM(K$59:K$62)</f>
        <v>239.25573260785075</v>
      </c>
      <c r="F60" s="2897">
        <f t="shared" si="178"/>
        <v>141.38899430740037</v>
      </c>
      <c r="G60" s="3655">
        <v>2007</v>
      </c>
      <c r="H60" s="2923">
        <v>3</v>
      </c>
      <c r="I60" s="2923">
        <v>8.65</v>
      </c>
      <c r="J60" s="2923">
        <v>8.06</v>
      </c>
      <c r="K60" s="2923">
        <v>9.94</v>
      </c>
      <c r="L60" s="2924">
        <v>5.8</v>
      </c>
      <c r="N60" s="2958">
        <f t="shared" si="175"/>
        <v>6.940217571740015E-2</v>
      </c>
      <c r="O60" s="2959">
        <f t="shared" si="175"/>
        <v>7.1197482471153428E-2</v>
      </c>
      <c r="P60" s="2959">
        <f t="shared" si="176"/>
        <v>0.10529679922579582</v>
      </c>
      <c r="Q60" s="2959">
        <f t="shared" si="176"/>
        <v>5.3292245059512133E-2</v>
      </c>
      <c r="R60" s="2900"/>
      <c r="S60" s="2899"/>
      <c r="T60" s="2885"/>
      <c r="U60" s="2885"/>
      <c r="V60" s="2885"/>
      <c r="X60" s="2960"/>
      <c r="Y60" s="2960"/>
      <c r="Z60" s="2960"/>
    </row>
    <row r="61" spans="1:26">
      <c r="A61" s="2896" t="s">
        <v>2587</v>
      </c>
      <c r="B61" s="2897">
        <f t="shared" si="177"/>
        <v>168.82017748715555</v>
      </c>
      <c r="C61" s="2897">
        <f t="shared" si="177"/>
        <v>148.06267029972753</v>
      </c>
      <c r="D61" s="2897">
        <f t="shared" si="156"/>
        <v>148.06267029972753</v>
      </c>
      <c r="E61" s="2897">
        <f t="shared" si="178"/>
        <v>216.46288379323747</v>
      </c>
      <c r="F61" s="2897">
        <f t="shared" si="178"/>
        <v>134.23529411764704</v>
      </c>
      <c r="G61" s="3655">
        <v>2007</v>
      </c>
      <c r="H61" s="2911">
        <v>2</v>
      </c>
      <c r="I61" s="2911">
        <v>3.67</v>
      </c>
      <c r="J61" s="2911">
        <v>2.3199999999999998</v>
      </c>
      <c r="K61" s="2911">
        <v>5.0199999999999996</v>
      </c>
      <c r="L61" s="2912">
        <v>6.71</v>
      </c>
      <c r="N61" s="2958">
        <f t="shared" si="175"/>
        <v>3.0339138143848032E-2</v>
      </c>
      <c r="O61" s="2959">
        <f t="shared" si="175"/>
        <v>2.0922341588790472E-2</v>
      </c>
      <c r="P61" s="2959">
        <f t="shared" si="176"/>
        <v>5.6164796592717003E-2</v>
      </c>
      <c r="Q61" s="2959">
        <f t="shared" si="176"/>
        <v>6.5704536723887319E-2</v>
      </c>
      <c r="R61" s="2900"/>
      <c r="S61" s="2899"/>
      <c r="T61" s="2885"/>
      <c r="U61" s="2885"/>
      <c r="V61" s="2885"/>
      <c r="X61" s="2960"/>
      <c r="Y61" s="2960"/>
      <c r="Z61" s="2960"/>
    </row>
    <row r="62" spans="1:26">
      <c r="A62" s="2896" t="s">
        <v>2588</v>
      </c>
      <c r="B62" s="2897">
        <f t="shared" si="177"/>
        <v>163.84913591779542</v>
      </c>
      <c r="C62" s="2897">
        <f t="shared" si="177"/>
        <v>145.0283378746594</v>
      </c>
      <c r="D62" s="2897">
        <f t="shared" si="156"/>
        <v>145.0283378746594</v>
      </c>
      <c r="E62" s="2897">
        <f t="shared" si="178"/>
        <v>204.95180722891567</v>
      </c>
      <c r="F62" s="2897">
        <f t="shared" si="178"/>
        <v>125.95920303605313</v>
      </c>
      <c r="G62" s="3658">
        <v>2007</v>
      </c>
      <c r="H62" s="2898">
        <v>1</v>
      </c>
      <c r="I62" s="2898">
        <v>3.58</v>
      </c>
      <c r="J62" s="2898">
        <v>3.08</v>
      </c>
      <c r="K62" s="2898">
        <v>4.34</v>
      </c>
      <c r="L62" s="2904">
        <v>3.21</v>
      </c>
      <c r="N62" s="2961">
        <f t="shared" si="175"/>
        <v>3.0497710174814063E-2</v>
      </c>
      <c r="O62" s="2962">
        <f t="shared" si="175"/>
        <v>2.8569772160704998E-2</v>
      </c>
      <c r="P62" s="2962">
        <f t="shared" si="176"/>
        <v>5.1034908866234296E-2</v>
      </c>
      <c r="Q62" s="2962">
        <f t="shared" si="176"/>
        <v>3.245248390207478E-2</v>
      </c>
      <c r="R62" s="2900"/>
      <c r="S62" s="2901">
        <f>B62/B63-1</f>
        <v>3.0497710174814063E-2</v>
      </c>
      <c r="T62" s="2902">
        <f>C62/C63-1</f>
        <v>2.8569772160704998E-2</v>
      </c>
      <c r="U62" s="2902">
        <f>E62/E63-1</f>
        <v>5.1034908866234296E-2</v>
      </c>
      <c r="V62" s="2902">
        <f>F62/F63-1</f>
        <v>3.245248390207478E-2</v>
      </c>
      <c r="X62" s="2960"/>
      <c r="Y62" s="2960"/>
      <c r="Z62" s="2960"/>
    </row>
    <row r="63" spans="1:26" ht="13.5" thickBot="1">
      <c r="A63" s="2896" t="s">
        <v>2589</v>
      </c>
      <c r="B63" s="2925">
        <v>159</v>
      </c>
      <c r="C63" s="2925">
        <v>141</v>
      </c>
      <c r="D63" s="2925">
        <f t="shared" si="156"/>
        <v>141</v>
      </c>
      <c r="E63" s="2925">
        <v>195</v>
      </c>
      <c r="F63" s="2926">
        <v>122</v>
      </c>
      <c r="G63" s="3657">
        <v>2006</v>
      </c>
      <c r="H63" s="2920">
        <v>4</v>
      </c>
      <c r="I63" s="2920">
        <v>3.79</v>
      </c>
      <c r="J63" s="2920">
        <v>2.21</v>
      </c>
      <c r="K63" s="2920">
        <v>5.65</v>
      </c>
      <c r="L63" s="2921">
        <v>5.41</v>
      </c>
      <c r="N63" s="2958">
        <f t="shared" ref="N63:O66" si="179">I63/SUM(I$63:I$66)*(B$63/B$67-1)</f>
        <v>7.245466462748526E-2</v>
      </c>
      <c r="O63" s="2959">
        <f t="shared" si="179"/>
        <v>2.3237230038062766E-2</v>
      </c>
      <c r="P63" s="2959">
        <f t="shared" ref="P63:Q66" si="180">K63/SUM(K$63:K$66)*(E$63/E$67-1)</f>
        <v>0.16146893866323722</v>
      </c>
      <c r="Q63" s="2959">
        <f t="shared" si="180"/>
        <v>5.0755230321793784E-2</v>
      </c>
      <c r="R63" s="2900"/>
      <c r="S63" s="2909"/>
      <c r="T63" s="2910"/>
      <c r="U63" s="2910"/>
      <c r="V63" s="2910"/>
      <c r="X63" s="2960"/>
      <c r="Y63" s="2960"/>
      <c r="Z63" s="2960"/>
    </row>
    <row r="64" spans="1:26">
      <c r="A64" s="2896" t="s">
        <v>2590</v>
      </c>
      <c r="B64" s="2897">
        <f t="shared" ref="B64:C66" si="181">B65+(B$63-B$67)*I64/SUM(I$63:I$66)</f>
        <v>149.00125628140702</v>
      </c>
      <c r="C64" s="2897">
        <f t="shared" si="181"/>
        <v>137.95592286501378</v>
      </c>
      <c r="D64" s="2897">
        <f t="shared" si="156"/>
        <v>137.95592286501378</v>
      </c>
      <c r="E64" s="2897">
        <f t="shared" ref="E64:F66" si="182">E65+(E$63-E$67)*K64/SUM(K$63:K$66)</f>
        <v>169.97231450719823</v>
      </c>
      <c r="F64" s="2897">
        <f t="shared" si="182"/>
        <v>116.21390374331551</v>
      </c>
      <c r="G64" s="3655">
        <v>2006</v>
      </c>
      <c r="H64" s="2923">
        <v>3</v>
      </c>
      <c r="I64" s="2923">
        <v>0.92</v>
      </c>
      <c r="J64" s="2923">
        <v>1.08</v>
      </c>
      <c r="K64" s="2923">
        <v>0.73</v>
      </c>
      <c r="L64" s="2924">
        <v>1.08</v>
      </c>
      <c r="N64" s="2958">
        <f t="shared" si="179"/>
        <v>1.7587939698492462E-2</v>
      </c>
      <c r="O64" s="2959">
        <f t="shared" si="179"/>
        <v>1.1355750425840628E-2</v>
      </c>
      <c r="P64" s="2959">
        <f t="shared" si="180"/>
        <v>2.0862358446754544E-2</v>
      </c>
      <c r="Q64" s="2959">
        <f t="shared" si="180"/>
        <v>1.0132282578103011E-2</v>
      </c>
      <c r="R64" s="2900"/>
      <c r="S64" s="2899"/>
      <c r="T64" s="2885"/>
      <c r="U64" s="2885"/>
      <c r="V64" s="2885"/>
      <c r="X64" s="2960"/>
      <c r="Y64" s="2960"/>
      <c r="Z64" s="2960"/>
    </row>
    <row r="65" spans="1:26">
      <c r="A65" s="2896" t="s">
        <v>2591</v>
      </c>
      <c r="B65" s="2897">
        <f t="shared" si="181"/>
        <v>146.57412060301507</v>
      </c>
      <c r="C65" s="2897">
        <f t="shared" si="181"/>
        <v>136.46831955922866</v>
      </c>
      <c r="D65" s="2897">
        <f t="shared" si="156"/>
        <v>136.46831955922866</v>
      </c>
      <c r="E65" s="2897">
        <f t="shared" si="182"/>
        <v>166.73864894795128</v>
      </c>
      <c r="F65" s="2897">
        <f t="shared" si="182"/>
        <v>115.05882352941177</v>
      </c>
      <c r="G65" s="3655">
        <v>2006</v>
      </c>
      <c r="H65" s="2911">
        <v>2</v>
      </c>
      <c r="I65" s="2911">
        <v>0.96</v>
      </c>
      <c r="J65" s="2911">
        <v>0.25</v>
      </c>
      <c r="K65" s="2911">
        <v>1.9</v>
      </c>
      <c r="L65" s="2912">
        <v>0.95</v>
      </c>
      <c r="N65" s="2958">
        <f t="shared" si="179"/>
        <v>1.8352632728861701E-2</v>
      </c>
      <c r="O65" s="2959">
        <f t="shared" si="179"/>
        <v>2.6286459319075526E-3</v>
      </c>
      <c r="P65" s="2959">
        <f t="shared" si="180"/>
        <v>5.4299289107991269E-2</v>
      </c>
      <c r="Q65" s="2959">
        <f t="shared" si="180"/>
        <v>8.9126559714794995E-3</v>
      </c>
      <c r="R65" s="2900"/>
      <c r="S65" s="2899"/>
      <c r="T65" s="2885"/>
      <c r="U65" s="2885"/>
      <c r="V65" s="2885"/>
      <c r="X65" s="2960"/>
      <c r="Y65" s="2960"/>
      <c r="Z65" s="2960"/>
    </row>
    <row r="66" spans="1:26">
      <c r="A66" s="2896" t="s">
        <v>2592</v>
      </c>
      <c r="B66" s="2897">
        <f t="shared" si="181"/>
        <v>144.04145728643215</v>
      </c>
      <c r="C66" s="2897">
        <f t="shared" si="181"/>
        <v>136.12396694214877</v>
      </c>
      <c r="D66" s="2897">
        <f t="shared" si="156"/>
        <v>136.12396694214877</v>
      </c>
      <c r="E66" s="2897">
        <f t="shared" si="182"/>
        <v>158.32225913621264</v>
      </c>
      <c r="F66" s="2897">
        <f t="shared" si="182"/>
        <v>114.04278074866311</v>
      </c>
      <c r="G66" s="3658">
        <v>2006</v>
      </c>
      <c r="H66" s="2898">
        <v>1</v>
      </c>
      <c r="I66" s="2898">
        <v>2.29</v>
      </c>
      <c r="J66" s="2898">
        <v>3.72</v>
      </c>
      <c r="K66" s="2898">
        <v>0.75</v>
      </c>
      <c r="L66" s="2904">
        <v>0.04</v>
      </c>
      <c r="N66" s="2961">
        <f t="shared" si="179"/>
        <v>4.3778675988638847E-2</v>
      </c>
      <c r="O66" s="2962">
        <f t="shared" si="179"/>
        <v>3.9114251466784385E-2</v>
      </c>
      <c r="P66" s="2962">
        <f t="shared" si="180"/>
        <v>2.1433929911049188E-2</v>
      </c>
      <c r="Q66" s="2962">
        <f t="shared" si="180"/>
        <v>3.7526972511492629E-4</v>
      </c>
      <c r="R66" s="2900"/>
      <c r="S66" s="2901">
        <f>B66/B67-1</f>
        <v>4.3778675988638716E-2</v>
      </c>
      <c r="T66" s="2902">
        <f>C66/C67-1</f>
        <v>3.91142514667846E-2</v>
      </c>
      <c r="U66" s="2902">
        <f>E66/E67-1</f>
        <v>2.143392991104931E-2</v>
      </c>
      <c r="V66" s="2902">
        <f>F66/F67-1</f>
        <v>3.7526972511492396E-4</v>
      </c>
      <c r="X66" s="2960"/>
      <c r="Y66" s="2960"/>
      <c r="Z66" s="2960"/>
    </row>
    <row r="67" spans="1:26" ht="13.5" thickBot="1">
      <c r="A67" s="2896" t="s">
        <v>2593</v>
      </c>
      <c r="B67" s="2925">
        <v>138</v>
      </c>
      <c r="C67" s="2925">
        <v>131</v>
      </c>
      <c r="D67" s="2925">
        <f t="shared" si="156"/>
        <v>131</v>
      </c>
      <c r="E67" s="2925">
        <v>155</v>
      </c>
      <c r="F67" s="2926">
        <v>114</v>
      </c>
      <c r="G67" s="3657">
        <v>2005</v>
      </c>
      <c r="H67" s="2920">
        <v>4</v>
      </c>
      <c r="I67" s="2920">
        <v>3.29</v>
      </c>
      <c r="J67" s="2920">
        <v>1.44</v>
      </c>
      <c r="K67" s="2920">
        <v>0.66</v>
      </c>
      <c r="L67" s="2921">
        <v>7.78</v>
      </c>
      <c r="N67" s="2958">
        <f t="shared" ref="N67:O70" si="183">I67/SUM(I$67:I$70)*(B$67/B$71-1)</f>
        <v>9.9404603216919935E-2</v>
      </c>
      <c r="O67" s="2959">
        <f t="shared" si="183"/>
        <v>4.7636550760861554E-2</v>
      </c>
      <c r="P67" s="2959">
        <f t="shared" ref="P67:Q70" si="184">K67/SUM(K$67:K$70)*(E$67/E$71-1)</f>
        <v>8.3756345177664976E-2</v>
      </c>
      <c r="Q67" s="2959">
        <f t="shared" si="184"/>
        <v>5.2148766661559584E-2</v>
      </c>
      <c r="R67" s="2900"/>
      <c r="S67" s="2909"/>
      <c r="T67" s="2910"/>
      <c r="U67" s="2910"/>
      <c r="V67" s="2910"/>
      <c r="X67" s="2960"/>
      <c r="Y67" s="2960"/>
      <c r="Z67" s="2960"/>
    </row>
    <row r="68" spans="1:26">
      <c r="A68" s="2896" t="s">
        <v>2594</v>
      </c>
      <c r="B68" s="2897">
        <f t="shared" ref="B68:C70" si="185">B69+(B$67-B$71)*I68/SUM(I$67:I$70)</f>
        <v>125.9720430107527</v>
      </c>
      <c r="C68" s="2897">
        <f t="shared" si="185"/>
        <v>125.1883408071749</v>
      </c>
      <c r="D68" s="2897">
        <f t="shared" si="156"/>
        <v>125.1883408071749</v>
      </c>
      <c r="E68" s="2897">
        <f t="shared" ref="E68:F70" si="186">E69+(E$67-E$71)*K68/SUM(K$67:K$70)</f>
        <v>144.61421319796952</v>
      </c>
      <c r="F68" s="2897">
        <f t="shared" si="186"/>
        <v>108.42008196721311</v>
      </c>
      <c r="G68" s="3655">
        <v>2005</v>
      </c>
      <c r="H68" s="2923">
        <v>3</v>
      </c>
      <c r="I68" s="2923">
        <v>0.46</v>
      </c>
      <c r="J68" s="2923">
        <v>0.32</v>
      </c>
      <c r="K68" s="2923">
        <v>0.42</v>
      </c>
      <c r="L68" s="2924">
        <v>0.64</v>
      </c>
      <c r="N68" s="2958">
        <f t="shared" si="183"/>
        <v>1.3898515951301874E-2</v>
      </c>
      <c r="O68" s="2959">
        <f t="shared" si="183"/>
        <v>1.0585900169080346E-2</v>
      </c>
      <c r="P68" s="2959">
        <f t="shared" si="184"/>
        <v>5.3299492385786795E-2</v>
      </c>
      <c r="Q68" s="2959">
        <f t="shared" si="184"/>
        <v>4.2898728359123568E-3</v>
      </c>
      <c r="R68" s="2900"/>
      <c r="S68" s="2899"/>
      <c r="T68" s="2885"/>
      <c r="U68" s="2885"/>
      <c r="V68" s="2885"/>
      <c r="X68" s="2960"/>
      <c r="Y68" s="2960"/>
      <c r="Z68" s="2960"/>
    </row>
    <row r="69" spans="1:26">
      <c r="A69" s="2896" t="s">
        <v>2595</v>
      </c>
      <c r="B69" s="2897">
        <f t="shared" si="185"/>
        <v>124.29032258064517</v>
      </c>
      <c r="C69" s="2897">
        <f t="shared" si="185"/>
        <v>123.8968609865471</v>
      </c>
      <c r="D69" s="2897">
        <f t="shared" si="156"/>
        <v>123.8968609865471</v>
      </c>
      <c r="E69" s="2897">
        <f t="shared" si="186"/>
        <v>138.00507614213197</v>
      </c>
      <c r="F69" s="2897">
        <f t="shared" si="186"/>
        <v>107.96106557377048</v>
      </c>
      <c r="G69" s="3655">
        <v>2005</v>
      </c>
      <c r="H69" s="2911">
        <v>2</v>
      </c>
      <c r="I69" s="2911">
        <v>0.47</v>
      </c>
      <c r="J69" s="2911">
        <v>0.1</v>
      </c>
      <c r="K69" s="2911">
        <v>0.52</v>
      </c>
      <c r="L69" s="2912">
        <v>0.79</v>
      </c>
      <c r="N69" s="2958">
        <f t="shared" si="183"/>
        <v>1.420065760241713E-2</v>
      </c>
      <c r="O69" s="2959">
        <f t="shared" si="183"/>
        <v>3.3080938028376083E-3</v>
      </c>
      <c r="P69" s="2959">
        <f t="shared" si="184"/>
        <v>6.598984771573603E-2</v>
      </c>
      <c r="Q69" s="2959">
        <f t="shared" si="184"/>
        <v>5.2953117818293153E-3</v>
      </c>
      <c r="R69" s="2900"/>
      <c r="S69" s="2899"/>
      <c r="T69" s="2885"/>
      <c r="U69" s="2885"/>
      <c r="V69" s="2885"/>
      <c r="X69" s="2960"/>
      <c r="Y69" s="2960"/>
      <c r="Z69" s="2960"/>
    </row>
    <row r="70" spans="1:26">
      <c r="A70" s="2896" t="s">
        <v>2596</v>
      </c>
      <c r="B70" s="2897">
        <f t="shared" si="185"/>
        <v>122.57204301075269</v>
      </c>
      <c r="C70" s="2897">
        <f t="shared" si="185"/>
        <v>123.4932735426009</v>
      </c>
      <c r="D70" s="2897">
        <f t="shared" si="156"/>
        <v>123.4932735426009</v>
      </c>
      <c r="E70" s="2897">
        <f t="shared" si="186"/>
        <v>129.82233502538071</v>
      </c>
      <c r="F70" s="2897">
        <f t="shared" si="186"/>
        <v>107.39446721311475</v>
      </c>
      <c r="G70" s="3658">
        <v>2005</v>
      </c>
      <c r="H70" s="2898">
        <v>1</v>
      </c>
      <c r="I70" s="2898">
        <v>0.43</v>
      </c>
      <c r="J70" s="2898">
        <v>0.37</v>
      </c>
      <c r="K70" s="2898">
        <v>0.37</v>
      </c>
      <c r="L70" s="2904">
        <v>0.55000000000000004</v>
      </c>
      <c r="N70" s="2961">
        <f t="shared" si="183"/>
        <v>1.2992090997956099E-2</v>
      </c>
      <c r="O70" s="2962">
        <f t="shared" si="183"/>
        <v>1.2239947070499151E-2</v>
      </c>
      <c r="P70" s="2962">
        <f t="shared" si="184"/>
        <v>4.6954314720812178E-2</v>
      </c>
      <c r="Q70" s="2962">
        <f t="shared" si="184"/>
        <v>3.6866094683621815E-3</v>
      </c>
      <c r="R70" s="2900"/>
      <c r="S70" s="2901">
        <f>B70/B71-1</f>
        <v>1.2992090997956174E-2</v>
      </c>
      <c r="T70" s="2902">
        <f>C70/C71-1</f>
        <v>1.2239947070499246E-2</v>
      </c>
      <c r="U70" s="2902">
        <f>E70/E71-1</f>
        <v>4.695431472081224E-2</v>
      </c>
      <c r="V70" s="2902">
        <f>F70/F71-1</f>
        <v>3.6866094683620787E-3</v>
      </c>
      <c r="X70" s="2960"/>
      <c r="Y70" s="2960"/>
      <c r="Z70" s="2960"/>
    </row>
    <row r="71" spans="1:26" ht="13.5" thickBot="1">
      <c r="A71" s="2896" t="s">
        <v>2597</v>
      </c>
      <c r="B71" s="2946">
        <v>121</v>
      </c>
      <c r="C71" s="2946">
        <v>122</v>
      </c>
      <c r="D71" s="2946">
        <f t="shared" si="156"/>
        <v>122</v>
      </c>
      <c r="E71" s="2946">
        <v>124</v>
      </c>
      <c r="F71" s="2947">
        <v>107</v>
      </c>
      <c r="G71" s="3657">
        <v>2004</v>
      </c>
      <c r="H71" s="2920">
        <v>4</v>
      </c>
      <c r="I71" s="2920">
        <v>0.33</v>
      </c>
      <c r="J71" s="2920">
        <v>0.5</v>
      </c>
      <c r="K71" s="2920">
        <v>0.5</v>
      </c>
      <c r="L71" s="2921">
        <v>0</v>
      </c>
      <c r="N71" s="2958">
        <f t="shared" ref="N71:O74" si="187">I71/SUM(I$71:I$74)*(B$71/B$75-1)</f>
        <v>1.3391770148526898E-2</v>
      </c>
      <c r="O71" s="2959">
        <f t="shared" si="187"/>
        <v>1.063264221158958E-2</v>
      </c>
      <c r="P71" s="2959">
        <f t="shared" ref="P71:Q74" si="188">K71/SUM(K$71:K$74)*(E$71/E$75-1)</f>
        <v>2.2244466688911134E-2</v>
      </c>
      <c r="Q71" s="2959">
        <f t="shared" si="188"/>
        <v>0</v>
      </c>
      <c r="R71" s="2900"/>
      <c r="S71" s="2909"/>
      <c r="T71" s="2910"/>
      <c r="U71" s="2910"/>
      <c r="V71" s="2910"/>
      <c r="X71" s="2960"/>
      <c r="Y71" s="2960"/>
      <c r="Z71" s="2960"/>
    </row>
    <row r="72" spans="1:26">
      <c r="A72" s="2896" t="s">
        <v>2598</v>
      </c>
      <c r="B72" s="2897">
        <f t="shared" ref="B72:C74" si="189">B73+(B$71-B$75)*I72/SUM(I$71:I$74)</f>
        <v>119.51351351351352</v>
      </c>
      <c r="C72" s="2897">
        <f t="shared" si="189"/>
        <v>120.7878787878788</v>
      </c>
      <c r="D72" s="2897">
        <f t="shared" si="156"/>
        <v>120.7878787878788</v>
      </c>
      <c r="E72" s="2897">
        <f t="shared" ref="E72:F74" si="190">E73+(E$71-E$75)*K72/SUM(K$71:K$74)</f>
        <v>121.5975975975976</v>
      </c>
      <c r="F72" s="2897">
        <f t="shared" si="190"/>
        <v>107</v>
      </c>
      <c r="G72" s="3655">
        <v>2004</v>
      </c>
      <c r="H72" s="2923">
        <v>3</v>
      </c>
      <c r="I72" s="2923">
        <v>0.56000000000000005</v>
      </c>
      <c r="J72" s="2923">
        <v>0.8</v>
      </c>
      <c r="K72" s="2923">
        <v>0.83</v>
      </c>
      <c r="L72" s="2924">
        <v>0.06</v>
      </c>
      <c r="N72" s="2958">
        <f t="shared" si="187"/>
        <v>2.2725428130833527E-2</v>
      </c>
      <c r="O72" s="2959">
        <f t="shared" si="187"/>
        <v>1.7012227538543329E-2</v>
      </c>
      <c r="P72" s="2959">
        <f t="shared" si="188"/>
        <v>3.6925814703592477E-2</v>
      </c>
      <c r="Q72" s="2959">
        <f t="shared" si="188"/>
        <v>2.8846153846153744E-2</v>
      </c>
      <c r="R72" s="2900"/>
      <c r="S72" s="2899"/>
      <c r="T72" s="2885"/>
      <c r="U72" s="2885"/>
      <c r="V72" s="2885"/>
      <c r="X72" s="2960"/>
      <c r="Y72" s="2960"/>
      <c r="Z72" s="2960"/>
    </row>
    <row r="73" spans="1:26">
      <c r="A73" s="2896" t="s">
        <v>2599</v>
      </c>
      <c r="B73" s="2897">
        <f t="shared" si="189"/>
        <v>116.99099099099099</v>
      </c>
      <c r="C73" s="2897">
        <f t="shared" si="189"/>
        <v>118.84848484848486</v>
      </c>
      <c r="D73" s="2897">
        <f t="shared" si="156"/>
        <v>118.84848484848486</v>
      </c>
      <c r="E73" s="2897">
        <f t="shared" si="190"/>
        <v>117.60960960960961</v>
      </c>
      <c r="F73" s="2897">
        <f t="shared" si="190"/>
        <v>104</v>
      </c>
      <c r="G73" s="3655">
        <v>2004</v>
      </c>
      <c r="H73" s="2911">
        <v>2</v>
      </c>
      <c r="I73" s="2911">
        <v>1</v>
      </c>
      <c r="J73" s="2911">
        <v>1.5</v>
      </c>
      <c r="K73" s="2911">
        <v>1.5</v>
      </c>
      <c r="L73" s="2912">
        <v>0</v>
      </c>
      <c r="N73" s="2958">
        <f t="shared" si="187"/>
        <v>4.0581121662202721E-2</v>
      </c>
      <c r="O73" s="2959">
        <f t="shared" si="187"/>
        <v>3.1897926634768738E-2</v>
      </c>
      <c r="P73" s="2959">
        <f t="shared" si="188"/>
        <v>6.6733400066733395E-2</v>
      </c>
      <c r="Q73" s="2959">
        <f t="shared" si="188"/>
        <v>0</v>
      </c>
      <c r="R73" s="2900"/>
      <c r="S73" s="2899"/>
      <c r="T73" s="2885"/>
      <c r="U73" s="2885"/>
      <c r="V73" s="2885"/>
      <c r="X73" s="2960"/>
      <c r="Y73" s="2960"/>
      <c r="Z73" s="2960"/>
    </row>
    <row r="74" spans="1:26" s="2952" customFormat="1" ht="13.5" thickBot="1">
      <c r="A74" s="2896" t="s">
        <v>2600</v>
      </c>
      <c r="B74" s="2949">
        <f t="shared" si="189"/>
        <v>112.48648648648648</v>
      </c>
      <c r="C74" s="2949">
        <f t="shared" si="189"/>
        <v>115.21212121212122</v>
      </c>
      <c r="D74" s="2949">
        <f t="shared" si="156"/>
        <v>115.21212121212122</v>
      </c>
      <c r="E74" s="2949">
        <f t="shared" si="190"/>
        <v>110.4024024024024</v>
      </c>
      <c r="F74" s="2949">
        <f t="shared" si="190"/>
        <v>104</v>
      </c>
      <c r="G74" s="3658">
        <v>2004</v>
      </c>
      <c r="H74" s="2950">
        <v>1</v>
      </c>
      <c r="I74" s="2950">
        <v>0.33</v>
      </c>
      <c r="J74" s="2950">
        <v>0.5</v>
      </c>
      <c r="K74" s="2950">
        <v>0.5</v>
      </c>
      <c r="L74" s="2951">
        <v>0</v>
      </c>
      <c r="N74" s="2963">
        <f t="shared" si="187"/>
        <v>1.3391770148526898E-2</v>
      </c>
      <c r="O74" s="2964">
        <f t="shared" si="187"/>
        <v>1.063264221158958E-2</v>
      </c>
      <c r="P74" s="2964">
        <f t="shared" si="188"/>
        <v>2.2244466688911134E-2</v>
      </c>
      <c r="Q74" s="2964">
        <f t="shared" si="188"/>
        <v>0</v>
      </c>
      <c r="R74" s="2955"/>
      <c r="S74" s="2953">
        <f>B74/B75-1</f>
        <v>1.3391770148526883E-2</v>
      </c>
      <c r="T74" s="2954">
        <f>C74/C75-1</f>
        <v>1.063264221158966E-2</v>
      </c>
      <c r="U74" s="2954">
        <f>E74/E75-1</f>
        <v>2.2244466688911224E-2</v>
      </c>
      <c r="V74" s="2954">
        <f>F74/F75-1</f>
        <v>0</v>
      </c>
      <c r="X74" s="2965"/>
      <c r="Y74" s="2965"/>
      <c r="Z74" s="2965"/>
    </row>
    <row r="75" spans="1:26" ht="13.5" thickBot="1">
      <c r="A75" s="2896" t="s">
        <v>2601</v>
      </c>
      <c r="B75" s="2966">
        <v>111</v>
      </c>
      <c r="C75" s="2966">
        <v>114</v>
      </c>
      <c r="D75" s="2966">
        <f t="shared" si="156"/>
        <v>114</v>
      </c>
      <c r="E75" s="2966">
        <v>108</v>
      </c>
      <c r="F75" s="2967">
        <v>104</v>
      </c>
      <c r="G75" s="3657">
        <v>2003</v>
      </c>
      <c r="H75" s="2956">
        <v>4</v>
      </c>
      <c r="I75" s="2968"/>
      <c r="J75" s="2968"/>
      <c r="K75" s="2968"/>
      <c r="L75" s="2968"/>
      <c r="N75" s="2969"/>
      <c r="O75" s="2968"/>
      <c r="P75" s="2968"/>
      <c r="Q75" s="2968"/>
      <c r="S75" s="2969"/>
      <c r="T75" s="2968"/>
      <c r="U75" s="2968"/>
      <c r="V75" s="2968"/>
      <c r="X75" s="2960"/>
      <c r="Y75" s="2960"/>
      <c r="Z75" s="2960"/>
    </row>
    <row r="76" spans="1:26">
      <c r="A76" s="2896" t="s">
        <v>2602</v>
      </c>
      <c r="B76" s="2970">
        <f t="shared" ref="B76:C78" si="191">B77+(B$75-B$79)/4</f>
        <v>109.75</v>
      </c>
      <c r="C76" s="2970">
        <f t="shared" si="191"/>
        <v>112.25</v>
      </c>
      <c r="D76" s="2970">
        <f t="shared" si="156"/>
        <v>112.25</v>
      </c>
      <c r="E76" s="2970">
        <f t="shared" ref="E76:F78" si="192">E77+(E$75-E$79)/4</f>
        <v>107.25</v>
      </c>
      <c r="F76" s="2970">
        <f t="shared" si="192"/>
        <v>103.5</v>
      </c>
      <c r="G76" s="3655">
        <v>2003</v>
      </c>
      <c r="H76" s="2923">
        <v>3</v>
      </c>
      <c r="I76" s="2968"/>
      <c r="J76" s="2968"/>
      <c r="K76" s="2968"/>
      <c r="L76" s="2968"/>
      <c r="X76" s="2960"/>
      <c r="Y76" s="2960"/>
      <c r="Z76" s="2960"/>
    </row>
    <row r="77" spans="1:26">
      <c r="A77" s="2896" t="s">
        <v>2603</v>
      </c>
      <c r="B77" s="2970">
        <f t="shared" si="191"/>
        <v>108.5</v>
      </c>
      <c r="C77" s="2970">
        <f t="shared" si="191"/>
        <v>110.5</v>
      </c>
      <c r="D77" s="2970">
        <f t="shared" si="156"/>
        <v>110.5</v>
      </c>
      <c r="E77" s="2970">
        <f t="shared" si="192"/>
        <v>106.5</v>
      </c>
      <c r="F77" s="2970">
        <f t="shared" si="192"/>
        <v>103</v>
      </c>
      <c r="G77" s="3655">
        <v>2003</v>
      </c>
      <c r="H77" s="2911">
        <v>2</v>
      </c>
      <c r="I77" s="2968"/>
      <c r="J77" s="2968"/>
      <c r="K77" s="2968"/>
      <c r="L77" s="2968"/>
      <c r="X77" s="2960"/>
      <c r="Y77" s="2960"/>
      <c r="Z77" s="2960"/>
    </row>
    <row r="78" spans="1:26" ht="13.5" thickBot="1">
      <c r="A78" s="2896" t="s">
        <v>2604</v>
      </c>
      <c r="B78" s="2970">
        <f t="shared" si="191"/>
        <v>107.25</v>
      </c>
      <c r="C78" s="2970">
        <f t="shared" si="191"/>
        <v>108.75</v>
      </c>
      <c r="D78" s="2970">
        <f t="shared" si="156"/>
        <v>108.75</v>
      </c>
      <c r="E78" s="2970">
        <f t="shared" si="192"/>
        <v>105.75</v>
      </c>
      <c r="F78" s="2970">
        <f t="shared" si="192"/>
        <v>102.5</v>
      </c>
      <c r="G78" s="3658">
        <v>2003</v>
      </c>
      <c r="H78" s="2971">
        <v>1</v>
      </c>
      <c r="I78" s="2968"/>
      <c r="J78" s="2968"/>
      <c r="K78" s="2968"/>
      <c r="L78" s="2968"/>
      <c r="S78" s="2899"/>
      <c r="T78" s="2885"/>
      <c r="U78" s="2885"/>
      <c r="X78" s="2960"/>
      <c r="Y78" s="2960"/>
      <c r="Z78" s="2960"/>
    </row>
    <row r="79" spans="1:26" ht="13.5" thickBot="1">
      <c r="A79" s="2896" t="s">
        <v>2605</v>
      </c>
      <c r="B79" s="2972">
        <v>106</v>
      </c>
      <c r="C79" s="2972">
        <v>107</v>
      </c>
      <c r="D79" s="2972">
        <f t="shared" si="156"/>
        <v>107</v>
      </c>
      <c r="E79" s="2972">
        <v>105</v>
      </c>
      <c r="F79" s="2973">
        <v>102</v>
      </c>
      <c r="G79" s="3657">
        <v>2002</v>
      </c>
      <c r="H79" s="2920">
        <v>4</v>
      </c>
      <c r="I79" s="2968"/>
      <c r="J79" s="2968"/>
      <c r="K79" s="2968"/>
      <c r="L79" s="2968"/>
      <c r="N79" s="2969"/>
      <c r="O79" s="2968"/>
      <c r="P79" s="2968"/>
      <c r="Q79" s="2968"/>
      <c r="S79" s="2969"/>
      <c r="T79" s="2968"/>
      <c r="U79" s="2968"/>
      <c r="V79" s="2968"/>
      <c r="X79" s="2960"/>
      <c r="Y79" s="2960"/>
      <c r="Z79" s="2960"/>
    </row>
    <row r="80" spans="1:26">
      <c r="A80" s="2896" t="s">
        <v>2606</v>
      </c>
      <c r="B80" s="2970">
        <f t="shared" ref="B80:C82" si="193">B81+(B$79-B$83)/4</f>
        <v>105</v>
      </c>
      <c r="C80" s="2970">
        <f t="shared" si="193"/>
        <v>106</v>
      </c>
      <c r="D80" s="2970">
        <f t="shared" si="156"/>
        <v>106</v>
      </c>
      <c r="E80" s="2970">
        <f t="shared" ref="E80:F82" si="194">E81+(E$79-E$83)/4</f>
        <v>104.5</v>
      </c>
      <c r="F80" s="2970">
        <f t="shared" si="194"/>
        <v>101.5</v>
      </c>
      <c r="G80" s="3655">
        <v>2002</v>
      </c>
      <c r="H80" s="2923">
        <v>3</v>
      </c>
      <c r="I80" s="2968"/>
      <c r="J80" s="2968"/>
      <c r="K80" s="2968"/>
      <c r="L80" s="2968"/>
      <c r="X80" s="2960"/>
      <c r="Y80" s="2960"/>
      <c r="Z80" s="2960"/>
    </row>
    <row r="81" spans="1:26">
      <c r="A81" s="2896" t="s">
        <v>2607</v>
      </c>
      <c r="B81" s="2970">
        <f t="shared" si="193"/>
        <v>104</v>
      </c>
      <c r="C81" s="2970">
        <f t="shared" si="193"/>
        <v>105</v>
      </c>
      <c r="D81" s="2970">
        <f t="shared" si="156"/>
        <v>105</v>
      </c>
      <c r="E81" s="2970">
        <f t="shared" si="194"/>
        <v>104</v>
      </c>
      <c r="F81" s="2970">
        <f t="shared" si="194"/>
        <v>101</v>
      </c>
      <c r="G81" s="3655">
        <v>2002</v>
      </c>
      <c r="H81" s="2911">
        <v>2</v>
      </c>
      <c r="I81" s="2968"/>
      <c r="J81" s="2968"/>
      <c r="K81" s="2968"/>
      <c r="L81" s="2968"/>
      <c r="X81" s="2960"/>
      <c r="Y81" s="2960"/>
      <c r="Z81" s="2960"/>
    </row>
    <row r="82" spans="1:26" s="2933" customFormat="1" ht="13.5" thickBot="1">
      <c r="A82" s="2929" t="s">
        <v>2608</v>
      </c>
      <c r="B82" s="2936">
        <f t="shared" si="193"/>
        <v>103</v>
      </c>
      <c r="C82" s="2936">
        <f t="shared" si="193"/>
        <v>104</v>
      </c>
      <c r="D82" s="2936">
        <f t="shared" si="156"/>
        <v>104</v>
      </c>
      <c r="E82" s="2936">
        <f t="shared" si="194"/>
        <v>103.5</v>
      </c>
      <c r="F82" s="2936">
        <f t="shared" si="194"/>
        <v>100.5</v>
      </c>
      <c r="G82" s="3658">
        <v>2002</v>
      </c>
      <c r="H82" s="2974">
        <v>1</v>
      </c>
      <c r="I82" s="2975"/>
      <c r="J82" s="2975"/>
      <c r="K82" s="2975"/>
      <c r="L82" s="2975"/>
      <c r="N82" s="2976"/>
      <c r="S82" s="2976"/>
      <c r="X82" s="2977"/>
      <c r="Y82" s="2977"/>
      <c r="Z82" s="2977"/>
    </row>
    <row r="83" spans="1:26" ht="13.5" thickBot="1">
      <c r="B83" s="2978">
        <v>102</v>
      </c>
      <c r="C83" s="2979">
        <v>103</v>
      </c>
      <c r="D83" s="2979">
        <f t="shared" si="156"/>
        <v>103</v>
      </c>
      <c r="E83" s="2979">
        <v>103</v>
      </c>
      <c r="F83" s="2980">
        <v>100</v>
      </c>
      <c r="I83" s="2968"/>
      <c r="J83" s="2968"/>
      <c r="K83" s="2968"/>
      <c r="L83" s="2968"/>
      <c r="N83" s="2969"/>
      <c r="O83" s="2968"/>
      <c r="P83" s="2968"/>
      <c r="Q83" s="2968"/>
      <c r="S83" s="2969"/>
      <c r="T83" s="2968"/>
      <c r="U83" s="2968"/>
      <c r="V83" s="2968"/>
      <c r="X83" s="2910"/>
      <c r="Y83" s="2910"/>
      <c r="Z83" s="2910"/>
    </row>
    <row r="85" spans="1:26" s="2982" customFormat="1">
      <c r="A85" s="2981" t="s">
        <v>2609</v>
      </c>
      <c r="G85" s="2983"/>
      <c r="N85" s="2983"/>
      <c r="S85" s="2983"/>
    </row>
    <row r="86" spans="1:26" s="2982" customFormat="1">
      <c r="A86" s="2982" t="s">
        <v>2610</v>
      </c>
      <c r="G86" s="2983"/>
      <c r="N86" s="2983"/>
      <c r="S86" s="2983"/>
    </row>
    <row r="87" spans="1:26" s="2982" customFormat="1">
      <c r="A87" s="2982" t="s">
        <v>2611</v>
      </c>
      <c r="G87" s="2983"/>
      <c r="I87" s="2984"/>
      <c r="J87" s="2984"/>
      <c r="K87" s="2984"/>
      <c r="L87" s="2984"/>
      <c r="N87" s="2985"/>
      <c r="O87" s="2984"/>
      <c r="P87" s="2984"/>
      <c r="Q87" s="2984"/>
      <c r="S87" s="2985"/>
      <c r="T87" s="2984"/>
      <c r="U87" s="2984"/>
      <c r="V87" s="2984"/>
    </row>
    <row r="88" spans="1:26" s="2982" customFormat="1">
      <c r="A88" s="2982" t="s">
        <v>2612</v>
      </c>
      <c r="G88" s="2983"/>
      <c r="N88" s="2983"/>
      <c r="S88" s="2983"/>
    </row>
    <row r="95" spans="1:26" ht="13.5" thickBot="1"/>
    <row r="96" spans="1:26">
      <c r="G96" s="2884"/>
      <c r="S96" s="2986" t="s">
        <v>2613</v>
      </c>
      <c r="T96" s="2987" t="s">
        <v>2614</v>
      </c>
      <c r="U96" s="2987" t="s">
        <v>2615</v>
      </c>
      <c r="V96" s="2987" t="s">
        <v>2616</v>
      </c>
    </row>
    <row r="97" spans="7:22">
      <c r="G97" s="2884"/>
      <c r="N97" s="2909"/>
      <c r="O97" s="2910"/>
      <c r="P97" s="2910"/>
      <c r="Q97" s="2910"/>
      <c r="S97" s="2988">
        <v>2006</v>
      </c>
      <c r="T97" s="2989">
        <v>15.1</v>
      </c>
      <c r="U97" s="2989">
        <v>7.43</v>
      </c>
      <c r="V97" s="2989">
        <v>26.26</v>
      </c>
    </row>
    <row r="98" spans="7:22">
      <c r="G98" s="2884"/>
      <c r="N98" s="2909"/>
      <c r="O98" s="2910"/>
      <c r="P98" s="2910"/>
      <c r="Q98" s="2910"/>
      <c r="S98" s="2990">
        <v>2005</v>
      </c>
      <c r="T98" s="2991">
        <v>13.9</v>
      </c>
      <c r="U98" s="2991">
        <v>7.49</v>
      </c>
      <c r="V98" s="2991">
        <v>24.92</v>
      </c>
    </row>
    <row r="99" spans="7:22">
      <c r="G99" s="2884"/>
      <c r="N99" s="2909"/>
      <c r="O99" s="2910"/>
      <c r="P99" s="2910"/>
      <c r="Q99" s="2910"/>
      <c r="S99" s="2988">
        <v>2004</v>
      </c>
      <c r="T99" s="2989">
        <v>9.48</v>
      </c>
      <c r="U99" s="2989">
        <v>7.2</v>
      </c>
      <c r="V99" s="2989">
        <v>14.68</v>
      </c>
    </row>
    <row r="100" spans="7:22">
      <c r="G100" s="2884"/>
      <c r="N100" s="2909"/>
      <c r="O100" s="2910"/>
      <c r="P100" s="2910"/>
      <c r="Q100" s="2910"/>
      <c r="S100" s="2990">
        <v>2003</v>
      </c>
      <c r="T100" s="2991">
        <v>4.5</v>
      </c>
      <c r="U100" s="2991">
        <v>6.12</v>
      </c>
      <c r="V100" s="2991">
        <v>2.34</v>
      </c>
    </row>
    <row r="101" spans="7:22" ht="13.5" thickBot="1">
      <c r="G101" s="2884"/>
      <c r="N101" s="2909"/>
      <c r="O101" s="2910"/>
      <c r="P101" s="2910"/>
      <c r="Q101" s="2910"/>
      <c r="S101" s="2992">
        <v>2002</v>
      </c>
      <c r="T101" s="2993">
        <v>3.59</v>
      </c>
      <c r="U101" s="2993">
        <v>4.54</v>
      </c>
      <c r="V101" s="2993">
        <v>2.5499999999999998</v>
      </c>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row r="117" spans="7:19">
      <c r="G117" s="2884"/>
      <c r="N117" s="2909"/>
      <c r="O117" s="2910"/>
      <c r="P117" s="2910"/>
      <c r="Q117" s="2910"/>
      <c r="S117" s="2884"/>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2911</v>
      </c>
      <c r="B1" s="3242"/>
      <c r="C1" s="3242"/>
      <c r="D1" s="3242"/>
      <c r="E1" s="3242"/>
      <c r="F1" s="3242"/>
      <c r="G1" s="3243"/>
      <c r="H1" s="3243"/>
      <c r="I1" s="3243"/>
      <c r="J1" s="3243"/>
      <c r="K1" s="3243"/>
      <c r="L1" s="3243"/>
      <c r="M1" s="3243"/>
      <c r="N1" s="3243"/>
    </row>
    <row r="2" spans="1:14" ht="14.25">
      <c r="A2" s="3248" t="s">
        <v>2906</v>
      </c>
      <c r="B2" s="3253">
        <f ca="1">SUMIF(B7:B14,"&lt;&gt;#ref!",B7:B14)</f>
        <v>0</v>
      </c>
      <c r="C2" s="3248" t="s">
        <v>2907</v>
      </c>
      <c r="D2" s="3245"/>
      <c r="E2" s="3245"/>
      <c r="F2" s="3245"/>
      <c r="G2" s="3243"/>
      <c r="H2" s="3243"/>
      <c r="I2" s="3243"/>
      <c r="J2" s="3243"/>
      <c r="K2" s="3243"/>
      <c r="L2" s="3243"/>
      <c r="M2" s="3243"/>
      <c r="N2" s="3243"/>
    </row>
    <row r="3" spans="1:14" ht="14.25">
      <c r="A3" s="3248" t="s">
        <v>2936</v>
      </c>
      <c r="B3" s="3253" t="e">
        <f ca="1">ROUND(B2*10000/E3,0)</f>
        <v>#DIV/0!</v>
      </c>
      <c r="C3" s="3248" t="s">
        <v>2064</v>
      </c>
      <c r="D3" s="3248" t="s">
        <v>2908</v>
      </c>
      <c r="E3" s="3246">
        <f ca="1">SUMIF(E7:E14,"&lt;&gt;#ref!",E7:E14)</f>
        <v>0</v>
      </c>
      <c r="F3" s="3245"/>
      <c r="G3" s="3243"/>
      <c r="H3" s="3243"/>
      <c r="I3" s="3243"/>
      <c r="J3" s="3243"/>
      <c r="K3" s="3243"/>
      <c r="L3" s="3243"/>
      <c r="M3" s="3243"/>
      <c r="N3" s="3243"/>
    </row>
    <row r="4" spans="1:14" ht="14.25">
      <c r="A4" s="3248" t="s">
        <v>2914</v>
      </c>
      <c r="B4" s="3253" t="e">
        <f ca="1">ROUND(B2*10000/E4,0)</f>
        <v>#DIV/0!</v>
      </c>
      <c r="C4" s="3248" t="s">
        <v>2064</v>
      </c>
      <c r="D4" s="3248" t="s">
        <v>2915</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2912</v>
      </c>
      <c r="B6" s="3248" t="s">
        <v>2909</v>
      </c>
      <c r="C6" s="2788"/>
      <c r="D6" s="3245"/>
      <c r="E6" s="3248" t="s">
        <v>2910</v>
      </c>
      <c r="F6" s="3248" t="s">
        <v>2913</v>
      </c>
      <c r="G6" s="3243"/>
      <c r="H6" s="3243"/>
      <c r="I6" s="3243"/>
      <c r="J6" s="3243"/>
      <c r="K6" s="3243"/>
      <c r="L6" s="3243"/>
      <c r="M6" s="3243"/>
      <c r="N6" s="3243"/>
    </row>
    <row r="7" spans="1:14" ht="14.25">
      <c r="A7" s="3251"/>
      <c r="B7" s="3253" t="e">
        <f ca="1">SUMIF(INDIRECT("'"&amp;A7&amp;"'"&amp;"!A:A"),"总价",INDIRECT("'"&amp;A7&amp;"'"&amp;"!B:B"))</f>
        <v>#REF!</v>
      </c>
      <c r="C7" s="3248" t="s">
        <v>2907</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2907</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2907</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2907</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2907</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2907</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2907</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2907</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0" t="s">
        <v>620</v>
      </c>
      <c r="B1" s="728"/>
      <c r="C1" s="761"/>
      <c r="D1" s="1931"/>
      <c r="E1" s="2240" t="s">
        <v>2356</v>
      </c>
      <c r="F1" s="2241">
        <f ca="1">J54</f>
        <v>-1.5</v>
      </c>
      <c r="G1" s="762">
        <f>MATCH(C1,'数据-取费表'!A6:A16,0)+5</f>
        <v>9</v>
      </c>
      <c r="H1" s="1301"/>
      <c r="I1" s="1932"/>
      <c r="J1" s="1932"/>
      <c r="K1" s="1933"/>
      <c r="L1" s="1932"/>
      <c r="M1" s="1932"/>
      <c r="N1" s="1934"/>
      <c r="O1" s="1934"/>
      <c r="P1" s="1934"/>
      <c r="Q1" s="1934"/>
      <c r="R1" s="1934"/>
      <c r="S1" s="1934"/>
      <c r="T1" s="1934"/>
      <c r="U1" s="1934"/>
      <c r="V1" s="1934"/>
      <c r="W1" s="1934"/>
      <c r="X1" s="1934"/>
      <c r="Y1" s="1934"/>
    </row>
    <row r="2" spans="1:25" ht="18" customHeight="1">
      <c r="A2" s="1571" t="s">
        <v>621</v>
      </c>
      <c r="B2" s="763">
        <f ca="1">IF(ISERROR(C45+J31),0,C45+J31)</f>
        <v>0</v>
      </c>
      <c r="C2" s="1302"/>
      <c r="D2" s="1936"/>
      <c r="E2" s="1937"/>
      <c r="F2" s="1937"/>
      <c r="G2" s="1523"/>
      <c r="H2" s="1314"/>
      <c r="I2" s="1938"/>
      <c r="J2" s="1938"/>
      <c r="K2" s="1939"/>
      <c r="L2" s="1938"/>
      <c r="M2" s="1938"/>
    </row>
    <row r="3" spans="1:25" ht="18" customHeight="1">
      <c r="A3" s="1572" t="s">
        <v>1674</v>
      </c>
      <c r="B3" s="1338">
        <f ca="1">ROUND(B2*10000/'数据-汇总表'!E3,0)</f>
        <v>0</v>
      </c>
      <c r="C3" s="1302"/>
      <c r="D3" s="1936"/>
      <c r="E3" s="1937"/>
      <c r="F3" s="1937"/>
      <c r="G3" s="1523"/>
      <c r="H3" s="764" t="s">
        <v>687</v>
      </c>
      <c r="I3" s="1938"/>
      <c r="J3" s="1938"/>
      <c r="K3" s="1939"/>
      <c r="L3" s="1938"/>
      <c r="M3" s="1938"/>
    </row>
    <row r="4" spans="1:25" ht="18" customHeight="1">
      <c r="A4" s="1573" t="s">
        <v>688</v>
      </c>
      <c r="B4" s="1303">
        <f ca="1">ROUND(B2*10000/'数据-汇总表'!D3,0)</f>
        <v>0</v>
      </c>
      <c r="C4" s="420"/>
      <c r="D4" s="1936"/>
      <c r="E4" s="1937"/>
      <c r="F4" s="1937"/>
      <c r="G4" s="1523"/>
      <c r="H4" s="764"/>
      <c r="I4" s="1938"/>
      <c r="J4" s="1938"/>
      <c r="K4" s="1939"/>
      <c r="L4" s="1938"/>
      <c r="M4" s="1938"/>
    </row>
    <row r="5" spans="1:25" ht="18" customHeight="1" thickBot="1">
      <c r="A5" s="1574"/>
      <c r="B5" s="422">
        <f ca="1">ROUND(B2/('数据-汇总表'!D3/666.67),0)</f>
        <v>0</v>
      </c>
      <c r="C5" s="423" t="s">
        <v>689</v>
      </c>
      <c r="D5" s="1936"/>
      <c r="E5" s="1937"/>
      <c r="F5" s="1937"/>
      <c r="G5" s="1523"/>
      <c r="H5" s="764"/>
      <c r="I5" s="1938"/>
      <c r="J5" s="1938"/>
      <c r="K5" s="1939"/>
      <c r="L5" s="1938"/>
      <c r="M5" s="1938"/>
    </row>
    <row r="6" spans="1:25" ht="18" customHeight="1">
      <c r="A6" s="1741" t="s">
        <v>690</v>
      </c>
      <c r="B6" s="1733" t="s">
        <v>691</v>
      </c>
      <c r="C6" s="1733" t="s">
        <v>624</v>
      </c>
      <c r="D6" s="1733" t="s">
        <v>625</v>
      </c>
      <c r="E6" s="767" t="s">
        <v>626</v>
      </c>
      <c r="F6" s="768"/>
      <c r="G6" s="1525"/>
      <c r="H6" s="1741" t="s">
        <v>622</v>
      </c>
      <c r="I6" s="1733" t="s">
        <v>623</v>
      </c>
      <c r="J6" s="1733" t="s">
        <v>624</v>
      </c>
      <c r="K6" s="1733" t="s">
        <v>625</v>
      </c>
      <c r="L6" s="767" t="s">
        <v>626</v>
      </c>
      <c r="M6" s="768"/>
    </row>
    <row r="7" spans="1:25" ht="18" customHeight="1">
      <c r="A7" s="769">
        <v>1</v>
      </c>
      <c r="B7" s="770" t="s">
        <v>2437</v>
      </c>
      <c r="C7" s="52">
        <f ca="1">C8+C12+C14</f>
        <v>0</v>
      </c>
      <c r="D7" s="2347" t="s">
        <v>2440</v>
      </c>
      <c r="E7" s="2341"/>
      <c r="F7" s="2342"/>
      <c r="G7" s="1525"/>
      <c r="H7" s="769">
        <v>1</v>
      </c>
      <c r="I7" s="770" t="s">
        <v>2437</v>
      </c>
      <c r="J7" s="52">
        <f ca="1">J8+J12+J14</f>
        <v>0</v>
      </c>
      <c r="K7" s="2347" t="s">
        <v>2440</v>
      </c>
      <c r="L7" s="2341"/>
      <c r="M7" s="2342"/>
    </row>
    <row r="8" spans="1:25" ht="18" customHeight="1">
      <c r="A8" s="1743" t="s">
        <v>1812</v>
      </c>
      <c r="B8" s="3666" t="s">
        <v>2442</v>
      </c>
      <c r="C8" s="1738">
        <f ca="1">ROUND(F8*F10*F9*(1-F11)/10000,0)</f>
        <v>0</v>
      </c>
      <c r="D8" s="1735" t="s">
        <v>2513</v>
      </c>
      <c r="E8" s="60" t="s">
        <v>629</v>
      </c>
      <c r="F8" s="773">
        <f ca="1">INDIRECT("'数据-取费表'!u"&amp;$G$1)</f>
        <v>0</v>
      </c>
      <c r="G8" s="1525"/>
      <c r="H8" s="2355" t="s">
        <v>1812</v>
      </c>
      <c r="I8" s="3666" t="s">
        <v>2442</v>
      </c>
      <c r="J8" s="771">
        <f ca="1">ROUND(M8*M10*M9*(1-M11)/10000,0)</f>
        <v>0</v>
      </c>
      <c r="K8" s="337" t="s">
        <v>2513</v>
      </c>
      <c r="L8" s="772" t="s">
        <v>1726</v>
      </c>
      <c r="M8" s="773">
        <f ca="1">INDIRECT("'数据-取费表'!z"&amp;$G$1)</f>
        <v>0</v>
      </c>
    </row>
    <row r="9" spans="1:25" ht="18" customHeight="1">
      <c r="A9" s="2351"/>
      <c r="B9" s="3667"/>
      <c r="C9" s="1739"/>
      <c r="D9" s="1736"/>
      <c r="E9" s="60" t="s">
        <v>630</v>
      </c>
      <c r="F9" s="773">
        <f ca="1">IF(INDIRECT("'数据-取费表'!ah"&amp;$G$1)="",INDIRECT("'数据-取费表'!k"&amp;$G$1),INDIRECT("'数据-取费表'!ah"&amp;$G$1))</f>
        <v>0</v>
      </c>
      <c r="G9" s="1525"/>
      <c r="H9" s="2340"/>
      <c r="I9" s="3667"/>
      <c r="J9" s="776"/>
      <c r="K9" s="777"/>
      <c r="L9" s="772" t="s">
        <v>1727</v>
      </c>
      <c r="M9" s="773">
        <f ca="1">F9</f>
        <v>0</v>
      </c>
    </row>
    <row r="10" spans="1:25" ht="18" customHeight="1">
      <c r="A10" s="2344"/>
      <c r="B10" s="3668"/>
      <c r="C10" s="1739"/>
      <c r="D10" s="1736"/>
      <c r="E10" s="60" t="s">
        <v>631</v>
      </c>
      <c r="F10" s="773">
        <f ca="1">INDIRECT("'数据-取费表'!ai"&amp;$G$1)</f>
        <v>0</v>
      </c>
      <c r="G10" s="1525"/>
      <c r="H10" s="2340"/>
      <c r="I10" s="3668"/>
      <c r="J10" s="776"/>
      <c r="K10" s="777"/>
      <c r="L10" s="772" t="s">
        <v>1728</v>
      </c>
      <c r="M10" s="773">
        <f ca="1">INDIRECT("'数据-取费表'!ai"&amp;$G$1)</f>
        <v>0</v>
      </c>
    </row>
    <row r="11" spans="1:25" ht="18" customHeight="1">
      <c r="A11" s="774"/>
      <c r="B11" s="3669"/>
      <c r="C11" s="1739"/>
      <c r="D11" s="1736"/>
      <c r="E11" s="60" t="s">
        <v>632</v>
      </c>
      <c r="F11" s="782">
        <f ca="1">INDIRECT("'数据-取费表'!w"&amp;$G$1)</f>
        <v>0</v>
      </c>
      <c r="G11" s="1525"/>
      <c r="H11" s="2356"/>
      <c r="I11" s="3668"/>
      <c r="J11" s="776"/>
      <c r="K11" s="777"/>
      <c r="L11" s="783" t="s">
        <v>1729</v>
      </c>
      <c r="M11" s="784">
        <f ca="1">INDIRECT("'数据-取费表'!ab"&amp;$G$1)</f>
        <v>0</v>
      </c>
    </row>
    <row r="12" spans="1:25" ht="18" customHeight="1">
      <c r="A12" s="1743" t="s">
        <v>1813</v>
      </c>
      <c r="B12" s="2345" t="s">
        <v>2438</v>
      </c>
      <c r="C12" s="787">
        <f ca="1">ROUND(IF(F12="押一",C8/12*F13,IF(F12="押二",C8/12*2*F13,IF(F12="押三",C8/12*3*F13,C13*F13))),0)</f>
        <v>0</v>
      </c>
      <c r="D12" s="2352" t="s">
        <v>2933</v>
      </c>
      <c r="E12" s="2349" t="s">
        <v>2443</v>
      </c>
      <c r="F12" s="2463"/>
      <c r="G12" s="1525"/>
      <c r="H12" s="2412" t="s">
        <v>1813</v>
      </c>
      <c r="I12" s="2417" t="s">
        <v>2438</v>
      </c>
      <c r="J12" s="771">
        <f ca="1">ROUND(IF(M12="押一",J8/12*M13,IF(M12="押二",J8/12*2*M13,IF(M12="押三",J8/12*3*M13,J13*M13))),0)</f>
        <v>0</v>
      </c>
      <c r="K12" s="2352" t="s">
        <v>2933</v>
      </c>
      <c r="L12" s="2349" t="s">
        <v>2443</v>
      </c>
      <c r="M12" s="2463"/>
    </row>
    <row r="13" spans="1:25" ht="18" customHeight="1">
      <c r="A13" s="778"/>
      <c r="B13" s="2346" t="s">
        <v>2552</v>
      </c>
      <c r="C13" s="2350"/>
      <c r="D13" s="777"/>
      <c r="E13" s="2349" t="s">
        <v>2435</v>
      </c>
      <c r="F13" s="784">
        <f ca="1">'数据-取费表'!B39</f>
        <v>1.4999999999999999E-2</v>
      </c>
      <c r="G13" s="1525"/>
      <c r="H13" s="2413"/>
      <c r="I13" s="2346" t="s">
        <v>2552</v>
      </c>
      <c r="J13" s="2350"/>
      <c r="K13" s="2414"/>
      <c r="L13" s="2349" t="s">
        <v>2435</v>
      </c>
      <c r="M13" s="2343">
        <f ca="1">'数据-取费表'!B39</f>
        <v>1.4999999999999999E-2</v>
      </c>
    </row>
    <row r="14" spans="1:25" ht="18" customHeight="1" thickBot="1">
      <c r="A14" s="2388" t="s">
        <v>2446</v>
      </c>
      <c r="B14" s="2389" t="s">
        <v>2439</v>
      </c>
      <c r="C14" s="2390"/>
      <c r="D14" s="2391"/>
      <c r="E14" s="2392"/>
      <c r="F14" s="2393"/>
      <c r="G14" s="1525"/>
      <c r="H14" s="2402" t="s">
        <v>2446</v>
      </c>
      <c r="I14" s="2415" t="s">
        <v>2439</v>
      </c>
      <c r="J14" s="2416"/>
      <c r="K14" s="2391"/>
      <c r="L14" s="2392"/>
      <c r="M14" s="2405"/>
    </row>
    <row r="15" spans="1:25" ht="18" customHeight="1" thickTop="1">
      <c r="A15" s="1742" t="s">
        <v>1862</v>
      </c>
      <c r="B15" s="1740" t="s">
        <v>633</v>
      </c>
      <c r="C15" s="780">
        <f ca="1">ROUND(C31*F15,0)</f>
        <v>0</v>
      </c>
      <c r="D15" s="1747" t="s">
        <v>634</v>
      </c>
      <c r="E15" s="783" t="s">
        <v>635</v>
      </c>
      <c r="F15" s="788">
        <f ca="1">INDIRECT("'数据-取费表'!y"&amp;$G$1)</f>
        <v>0</v>
      </c>
      <c r="G15" s="1525"/>
      <c r="H15" s="1742" t="s">
        <v>1814</v>
      </c>
      <c r="I15" s="1740" t="s">
        <v>636</v>
      </c>
      <c r="J15" s="1732">
        <f ca="1">ROUND(J16*J17,0)</f>
        <v>0</v>
      </c>
      <c r="K15" s="1734" t="s">
        <v>634</v>
      </c>
      <c r="L15" s="789"/>
      <c r="M15" s="790"/>
    </row>
    <row r="16" spans="1:25" ht="18" customHeight="1">
      <c r="A16" s="791" t="s">
        <v>1863</v>
      </c>
      <c r="B16" s="772" t="s">
        <v>637</v>
      </c>
      <c r="C16" s="792">
        <f ca="1">INDIRECT("'数据-取费表'!m"&amp;$G$1)+INDIRECT("'数据-取费表'!t"&amp;$G$1)</f>
        <v>0</v>
      </c>
      <c r="D16" s="1891" t="s">
        <v>638</v>
      </c>
      <c r="E16" s="1892"/>
      <c r="F16" s="793"/>
      <c r="G16" s="1525"/>
      <c r="H16" s="791" t="s">
        <v>2055</v>
      </c>
      <c r="I16" s="2109" t="s">
        <v>2802</v>
      </c>
      <c r="J16" s="52">
        <f ca="1">C31</f>
        <v>0</v>
      </c>
      <c r="K16" s="25"/>
      <c r="L16" s="789"/>
      <c r="M16" s="790"/>
    </row>
    <row r="17" spans="1:25" s="1945" customFormat="1" ht="18" customHeight="1">
      <c r="A17" s="791" t="s">
        <v>1837</v>
      </c>
      <c r="B17" s="772" t="s">
        <v>639</v>
      </c>
      <c r="C17" s="52">
        <f ca="1">ROUND(C16*F17,0)</f>
        <v>0</v>
      </c>
      <c r="D17" s="794" t="s">
        <v>640</v>
      </c>
      <c r="E17" s="794" t="s">
        <v>641</v>
      </c>
      <c r="F17" s="795">
        <f>'数据-取费表'!B33</f>
        <v>0.03</v>
      </c>
      <c r="G17" s="1526"/>
      <c r="H17" s="791" t="s">
        <v>2056</v>
      </c>
      <c r="I17" s="772" t="s">
        <v>635</v>
      </c>
      <c r="J17" s="796">
        <f ca="1">INDIRECT("'数据-取费表'!ad"&amp;$G$1)</f>
        <v>0</v>
      </c>
      <c r="K17" s="25"/>
      <c r="L17" s="789"/>
      <c r="M17" s="790"/>
      <c r="N17" s="1944"/>
      <c r="O17" s="1944"/>
      <c r="P17" s="1944"/>
      <c r="Q17" s="1944"/>
      <c r="R17" s="1944"/>
      <c r="S17" s="1944"/>
      <c r="T17" s="1944"/>
      <c r="U17" s="1944"/>
      <c r="V17" s="1944"/>
      <c r="W17" s="1944"/>
      <c r="X17" s="1944"/>
      <c r="Y17" s="1944"/>
    </row>
    <row r="18" spans="1:25" ht="18" customHeight="1">
      <c r="A18" s="791" t="s">
        <v>1838</v>
      </c>
      <c r="B18" s="772" t="s">
        <v>642</v>
      </c>
      <c r="C18" s="52">
        <f ca="1">ROUND(INDIRECT("'数据-取费表'!m"&amp;$G$1)*F18,0)</f>
        <v>0</v>
      </c>
      <c r="D18" s="772" t="s">
        <v>640</v>
      </c>
      <c r="E18" s="772" t="s">
        <v>641</v>
      </c>
      <c r="F18" s="797">
        <f ca="1">IF(INDIRECT("'数据-取费表'!c"&amp;$G$1)="住宅",'数据-取费表'!B34,0)</f>
        <v>0</v>
      </c>
      <c r="G18" s="1525"/>
      <c r="H18" s="785" t="s">
        <v>1815</v>
      </c>
      <c r="I18" s="786" t="s">
        <v>643</v>
      </c>
      <c r="J18" s="787">
        <f ca="1">ROUND(J19+J24+J25+J26,0)</f>
        <v>0</v>
      </c>
      <c r="K18" s="25" t="s">
        <v>644</v>
      </c>
      <c r="L18" s="1894"/>
      <c r="M18" s="55"/>
    </row>
    <row r="19" spans="1:25" s="1945" customFormat="1" ht="18" customHeight="1">
      <c r="A19" s="791" t="s">
        <v>1839</v>
      </c>
      <c r="B19" s="772" t="s">
        <v>645</v>
      </c>
      <c r="C19" s="52">
        <f ca="1">ROUND(F19*(INDIRECT("'数据-取费表'!k"&amp;$G$1)+INDIRECT("'数据-取费表'!S"&amp;$G$1))/10000,0)</f>
        <v>0</v>
      </c>
      <c r="D19" s="772" t="s">
        <v>646</v>
      </c>
      <c r="E19" s="772" t="s">
        <v>647</v>
      </c>
      <c r="F19" s="55">
        <f>'数据-取费表'!B35</f>
        <v>200</v>
      </c>
      <c r="G19" s="1526"/>
      <c r="H19" s="791" t="s">
        <v>2055</v>
      </c>
      <c r="I19" s="772" t="s">
        <v>648</v>
      </c>
      <c r="J19" s="3017">
        <f ca="1">ROUND(IF(AND(项目基本情况!B11="自然人",项目基本情况!B10="北京市"),J8*M19/(1+'数据-取费表'!C42),J20+J21+J22),0)</f>
        <v>0</v>
      </c>
      <c r="K19" s="1891" t="s">
        <v>649</v>
      </c>
      <c r="L19" s="1889" t="s">
        <v>650</v>
      </c>
      <c r="M19" s="3016">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1" t="s">
        <v>1840</v>
      </c>
      <c r="B20" s="772" t="s">
        <v>651</v>
      </c>
      <c r="C20" s="52">
        <f ca="1">ROUND(C16*F20,0)</f>
        <v>0</v>
      </c>
      <c r="D20" s="772" t="s">
        <v>640</v>
      </c>
      <c r="E20" s="772" t="s">
        <v>641</v>
      </c>
      <c r="F20" s="797">
        <f>'数据-取费表'!B36</f>
        <v>1.4999999999999999E-2</v>
      </c>
      <c r="G20" s="1526"/>
      <c r="H20" s="791" t="s">
        <v>1819</v>
      </c>
      <c r="I20" s="772" t="s">
        <v>652</v>
      </c>
      <c r="J20" s="52">
        <f ca="1">ROUND(J8*M20/(1+'数据-取费表'!C42),1)</f>
        <v>0</v>
      </c>
      <c r="K20" s="1889" t="s">
        <v>653</v>
      </c>
      <c r="L20" s="772" t="s">
        <v>641</v>
      </c>
      <c r="M20" s="797">
        <f>'数据-取费表'!B41</f>
        <v>5.5000000000000007E-2</v>
      </c>
      <c r="N20" s="1944"/>
      <c r="O20" s="1944"/>
      <c r="P20" s="1944"/>
      <c r="Q20" s="1944"/>
      <c r="R20" s="1944"/>
      <c r="S20" s="1944"/>
      <c r="T20" s="1944"/>
      <c r="U20" s="1944"/>
      <c r="V20" s="1944"/>
      <c r="W20" s="1944"/>
      <c r="X20" s="1944"/>
      <c r="Y20" s="1944"/>
    </row>
    <row r="21" spans="1:25" ht="18" customHeight="1">
      <c r="A21" s="791" t="s">
        <v>1864</v>
      </c>
      <c r="B21" s="772" t="s">
        <v>654</v>
      </c>
      <c r="C21" s="52">
        <f ca="1">SUM(C16:C20)</f>
        <v>0</v>
      </c>
      <c r="D21" s="257" t="s">
        <v>655</v>
      </c>
      <c r="E21" s="1894"/>
      <c r="F21" s="55"/>
      <c r="G21" s="1525"/>
      <c r="H21" s="1743" t="s">
        <v>1837</v>
      </c>
      <c r="I21" s="772" t="s">
        <v>656</v>
      </c>
      <c r="J21" s="52">
        <f ca="1">IF(K21="按租金收入计税",ROUND(J8*M21/(1+'数据-取费表'!C42),1),ROUND(C31*F35*0.7,1))</f>
        <v>0</v>
      </c>
      <c r="K21" s="798" t="s">
        <v>657</v>
      </c>
      <c r="L21" s="772" t="s">
        <v>641</v>
      </c>
      <c r="M21" s="797">
        <f>IF(K21="按租金收入计税",'数据-取费表'!B51,'数据-取费表'!B50)</f>
        <v>1.2E-2</v>
      </c>
    </row>
    <row r="22" spans="1:25" s="1945" customFormat="1" ht="18" customHeight="1">
      <c r="A22" s="791" t="s">
        <v>1865</v>
      </c>
      <c r="B22" s="772" t="s">
        <v>658</v>
      </c>
      <c r="C22" s="52">
        <f ca="1">ROUND(C21*F22,0)</f>
        <v>0</v>
      </c>
      <c r="D22" s="799" t="s">
        <v>659</v>
      </c>
      <c r="E22" s="772" t="s">
        <v>641</v>
      </c>
      <c r="F22" s="797">
        <f>'数据-取费表'!B37</f>
        <v>0.01</v>
      </c>
      <c r="G22" s="1526"/>
      <c r="H22" s="1745" t="s">
        <v>1838</v>
      </c>
      <c r="I22" s="1735" t="s">
        <v>660</v>
      </c>
      <c r="J22" s="53">
        <f ca="1">ROUND(M22*M23/10000,0)</f>
        <v>0</v>
      </c>
      <c r="K22" s="801" t="s">
        <v>661</v>
      </c>
      <c r="L22" s="772" t="s">
        <v>662</v>
      </c>
      <c r="M22" s="630">
        <f>'数据-取费表'!B52</f>
        <v>1.5</v>
      </c>
      <c r="N22" s="1944"/>
      <c r="O22" s="1944"/>
      <c r="P22" s="1944"/>
      <c r="Q22" s="1944"/>
      <c r="R22" s="1944"/>
      <c r="S22" s="1944"/>
      <c r="T22" s="1944"/>
      <c r="U22" s="1944"/>
      <c r="V22" s="1944"/>
      <c r="W22" s="1944"/>
      <c r="X22" s="1944"/>
      <c r="Y22" s="1944"/>
    </row>
    <row r="23" spans="1:25" s="1945" customFormat="1" ht="18" customHeight="1">
      <c r="A23" s="791" t="s">
        <v>1866</v>
      </c>
      <c r="B23" s="772" t="s">
        <v>663</v>
      </c>
      <c r="C23" s="52" t="s">
        <v>1</v>
      </c>
      <c r="D23" s="799" t="s">
        <v>664</v>
      </c>
      <c r="E23" s="772" t="s">
        <v>665</v>
      </c>
      <c r="F23" s="797">
        <f>'数据-取费表'!B38</f>
        <v>0.01</v>
      </c>
      <c r="G23" s="1526"/>
      <c r="H23" s="1746"/>
      <c r="I23" s="1737"/>
      <c r="J23" s="68"/>
      <c r="K23" s="803"/>
      <c r="L23" s="772" t="s">
        <v>666</v>
      </c>
      <c r="M23" s="773">
        <f ca="1">INDIRECT("'数据-取费表'!r"&amp;$G$1)</f>
        <v>0</v>
      </c>
      <c r="N23" s="1944"/>
      <c r="O23" s="1944"/>
      <c r="P23" s="1944"/>
      <c r="Q23" s="1944"/>
      <c r="R23" s="1944"/>
      <c r="S23" s="1944"/>
      <c r="T23" s="1944"/>
      <c r="U23" s="1944"/>
      <c r="V23" s="1944"/>
      <c r="W23" s="1944"/>
      <c r="X23" s="1944"/>
      <c r="Y23" s="1944"/>
    </row>
    <row r="24" spans="1:25" ht="18" customHeight="1">
      <c r="A24" s="791" t="s">
        <v>1867</v>
      </c>
      <c r="B24" s="772" t="s">
        <v>667</v>
      </c>
      <c r="C24" s="52"/>
      <c r="D24" s="2422" t="str">
        <f>IF(F25&lt;=1,"单利计息。","复利计息。")&amp;"建造成本、管理费用、销售费用产生的利息。"</f>
        <v>复利计息。建造成本、管理费用、销售费用产生的利息。</v>
      </c>
      <c r="E24" s="1894"/>
      <c r="F24" s="55"/>
      <c r="G24" s="1525"/>
      <c r="H24" s="1744" t="s">
        <v>2056</v>
      </c>
      <c r="I24" s="772" t="s">
        <v>668</v>
      </c>
      <c r="J24" s="52">
        <f ca="1">ROUND(J16*M24,0)</f>
        <v>0</v>
      </c>
      <c r="K24" s="1889" t="s">
        <v>669</v>
      </c>
      <c r="L24" s="772" t="s">
        <v>641</v>
      </c>
      <c r="M24" s="804">
        <f ca="1">INDIRECT("'数据-取费表'!Ak"&amp;$G$1)</f>
        <v>0</v>
      </c>
    </row>
    <row r="25" spans="1:25" s="1945" customFormat="1" ht="18" customHeight="1">
      <c r="A25" s="791" t="s">
        <v>1863</v>
      </c>
      <c r="B25" s="772" t="s">
        <v>2418</v>
      </c>
      <c r="C25" s="52">
        <f ca="1">ROUND(IF('数据-取费表'!B22&lt;=1,(C21+C22)*F26*F25/2,(C21+C22)*(POWER((1+F26),F25/2)-1)),0)</f>
        <v>0</v>
      </c>
      <c r="D25" s="2421" t="str">
        <f>IF(F25&lt;=1,"(建造成本+管理费用)×利率×(建设周期÷2)","(建造成本+管理费用)×((1+利率)^(建设周期÷2)-1)")</f>
        <v>(建造成本+管理费用)×((1+利率)^(建设周期÷2)-1)</v>
      </c>
      <c r="E25" s="772" t="s">
        <v>670</v>
      </c>
      <c r="F25" s="630">
        <f>'数据-取费表'!B20</f>
        <v>1.5</v>
      </c>
      <c r="G25" s="1526"/>
      <c r="H25" s="791" t="s">
        <v>1866</v>
      </c>
      <c r="I25" s="772" t="s">
        <v>671</v>
      </c>
      <c r="J25" s="52">
        <f ca="1">ROUND(J15*M25,0)</f>
        <v>0</v>
      </c>
      <c r="K25" s="1889" t="s">
        <v>672</v>
      </c>
      <c r="L25" s="772" t="s">
        <v>641</v>
      </c>
      <c r="M25" s="805">
        <f ca="1">INDIRECT("'数据-取费表'!Al"&amp;$G$1)</f>
        <v>0</v>
      </c>
      <c r="N25" s="1944"/>
      <c r="O25" s="1944"/>
      <c r="P25" s="1944"/>
      <c r="Q25" s="1944"/>
      <c r="R25" s="1944"/>
      <c r="S25" s="1944"/>
      <c r="T25" s="1944"/>
      <c r="U25" s="1944"/>
      <c r="V25" s="1944"/>
      <c r="W25" s="1944"/>
      <c r="X25" s="1944"/>
      <c r="Y25" s="1944"/>
    </row>
    <row r="26" spans="1:25" s="1945" customFormat="1" ht="18" customHeight="1">
      <c r="A26" s="791" t="s">
        <v>1837</v>
      </c>
      <c r="B26" s="772" t="s">
        <v>673</v>
      </c>
      <c r="C26" s="52">
        <f ca="1">ROUND(IF('数据-取费表'!B22&lt;=1,F23*F26*F25/2,F23*(POWER((1+F26),F25/2)-1)),4)</f>
        <v>4.0000000000000002E-4</v>
      </c>
      <c r="D26" s="2421" t="str">
        <f>IF(F25&lt;=1,"销售费用×利率×(建设周期÷2)","销售费用×((1+利率)^(建设周期÷2)-1)")</f>
        <v>销售费用×((1+利率)^(建设周期÷2)-1)</v>
      </c>
      <c r="E26" s="772" t="s">
        <v>674</v>
      </c>
      <c r="F26" s="806">
        <f ca="1">'数据-取费表'!B40</f>
        <v>4.7500000000000001E-2</v>
      </c>
      <c r="G26" s="1526"/>
      <c r="H26" s="791" t="s">
        <v>1867</v>
      </c>
      <c r="I26" s="772" t="s">
        <v>658</v>
      </c>
      <c r="J26" s="52">
        <f ca="1">ROUND(J7*M26,0)</f>
        <v>0</v>
      </c>
      <c r="K26" s="1889" t="s">
        <v>675</v>
      </c>
      <c r="L26" s="772" t="s">
        <v>641</v>
      </c>
      <c r="M26" s="782">
        <f ca="1">INDIRECT("'数据-取费表'!Am"&amp;$G$1)</f>
        <v>0</v>
      </c>
      <c r="N26" s="1944"/>
      <c r="O26" s="1944"/>
      <c r="P26" s="1944"/>
      <c r="Q26" s="1944"/>
      <c r="R26" s="1944"/>
      <c r="S26" s="1944"/>
      <c r="T26" s="1944"/>
      <c r="U26" s="1944"/>
      <c r="V26" s="1944"/>
      <c r="W26" s="1944"/>
      <c r="X26" s="1944"/>
      <c r="Y26" s="1944"/>
    </row>
    <row r="27" spans="1:25" ht="18" customHeight="1">
      <c r="A27" s="791" t="s">
        <v>1869</v>
      </c>
      <c r="B27" s="772" t="s">
        <v>676</v>
      </c>
      <c r="C27" s="52"/>
      <c r="D27" s="257" t="s">
        <v>677</v>
      </c>
      <c r="E27" s="1894"/>
      <c r="F27" s="55"/>
      <c r="G27" s="1525"/>
      <c r="H27" s="785" t="s">
        <v>1816</v>
      </c>
      <c r="I27" s="2722" t="s">
        <v>2799</v>
      </c>
      <c r="J27" s="787">
        <f ca="1">J7-J18</f>
        <v>0</v>
      </c>
      <c r="K27" s="1891" t="s">
        <v>692</v>
      </c>
      <c r="L27" s="1893"/>
      <c r="M27" s="807"/>
    </row>
    <row r="28" spans="1:25" ht="18" customHeight="1">
      <c r="A28" s="791" t="s">
        <v>1863</v>
      </c>
      <c r="B28" s="772" t="s">
        <v>2419</v>
      </c>
      <c r="C28" s="52">
        <f ca="1">ROUND((C21+C22)*F28,0)</f>
        <v>0</v>
      </c>
      <c r="D28" s="799" t="s">
        <v>693</v>
      </c>
      <c r="E28" s="783" t="s">
        <v>694</v>
      </c>
      <c r="F28" s="782">
        <f ca="1">INDIRECT("'数据-取费表'!q"&amp;$G$1)</f>
        <v>0</v>
      </c>
      <c r="G28" s="1525"/>
      <c r="H28" s="769" t="s">
        <v>1825</v>
      </c>
      <c r="I28" s="770" t="s">
        <v>695</v>
      </c>
      <c r="J28" s="771">
        <f ca="1">IF(J7&lt;&gt;0,ROUND(J27*(1-((1+M30)/(1+M28))^M29)/(M28-M30),0),0)</f>
        <v>0</v>
      </c>
      <c r="K28" s="801" t="s">
        <v>696</v>
      </c>
      <c r="L28" s="772" t="s">
        <v>697</v>
      </c>
      <c r="M28" s="782">
        <f ca="1">INDIRECT("'数据-取费表'!I"&amp;$G$1)</f>
        <v>0</v>
      </c>
    </row>
    <row r="29" spans="1:25" ht="18" customHeight="1">
      <c r="A29" s="791" t="s">
        <v>1837</v>
      </c>
      <c r="B29" s="772" t="s">
        <v>678</v>
      </c>
      <c r="C29" s="52">
        <f ca="1">ROUND(F23*F28,4)</f>
        <v>0</v>
      </c>
      <c r="D29" s="799" t="s">
        <v>698</v>
      </c>
      <c r="E29" s="794"/>
      <c r="F29" s="795"/>
      <c r="G29" s="1525"/>
      <c r="H29" s="774"/>
      <c r="I29" s="775"/>
      <c r="J29" s="776"/>
      <c r="K29" s="808" t="s">
        <v>699</v>
      </c>
      <c r="L29" s="772" t="s">
        <v>700</v>
      </c>
      <c r="M29" s="809">
        <f ca="1">INDIRECT("'数据-取费表'!ag"&amp;$G$1)</f>
        <v>0</v>
      </c>
    </row>
    <row r="30" spans="1:25" s="1945" customFormat="1" ht="18" customHeight="1">
      <c r="A30" s="791" t="s">
        <v>1870</v>
      </c>
      <c r="B30" s="772" t="s">
        <v>679</v>
      </c>
      <c r="C30" s="52">
        <f>ROUND(F30/(1+'数据-取费表'!C42),4)</f>
        <v>5.2400000000000002E-2</v>
      </c>
      <c r="D30" s="799" t="s">
        <v>701</v>
      </c>
      <c r="E30" s="772" t="s">
        <v>641</v>
      </c>
      <c r="F30" s="797">
        <f>'数据-取费表'!B41</f>
        <v>5.5000000000000007E-2</v>
      </c>
      <c r="G30" s="1526"/>
      <c r="H30" s="778"/>
      <c r="I30" s="779"/>
      <c r="J30" s="780"/>
      <c r="K30" s="803"/>
      <c r="L30" s="772" t="s">
        <v>702</v>
      </c>
      <c r="M30" s="782">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1871</v>
      </c>
      <c r="B31" s="2392" t="s">
        <v>2800</v>
      </c>
      <c r="C31" s="2395">
        <f ca="1">ROUND((C21+C22+C25+C28)/(1-F23-C26-C29-C30),0)</f>
        <v>0</v>
      </c>
      <c r="D31" s="2396"/>
      <c r="E31" s="2397"/>
      <c r="F31" s="2398"/>
      <c r="G31" s="1526"/>
      <c r="H31" s="810" t="s">
        <v>1860</v>
      </c>
      <c r="I31" s="2723" t="s">
        <v>2801</v>
      </c>
      <c r="J31" s="812">
        <f ca="1">ROUND(J28/(1+F45)^F46,0)</f>
        <v>0</v>
      </c>
      <c r="K31" s="813" t="s">
        <v>680</v>
      </c>
      <c r="L31" s="814"/>
      <c r="M31" s="815">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681</v>
      </c>
      <c r="C32" s="780">
        <f ca="1">ROUND(C33+C38+C39+C40,0)</f>
        <v>0</v>
      </c>
      <c r="D32" s="1734" t="s">
        <v>644</v>
      </c>
      <c r="E32" s="2338"/>
      <c r="F32" s="2342"/>
      <c r="G32" s="1943"/>
      <c r="H32" s="1946"/>
      <c r="I32" s="1947"/>
      <c r="J32" s="1948"/>
      <c r="K32" s="1949"/>
      <c r="L32" s="1950"/>
      <c r="M32" s="1951"/>
    </row>
    <row r="33" spans="1:18" ht="18" customHeight="1">
      <c r="A33" s="791" t="s">
        <v>1864</v>
      </c>
      <c r="B33" s="772" t="s">
        <v>648</v>
      </c>
      <c r="C33" s="3017">
        <f ca="1">ROUND(IF(AND(项目基本情况!B11="自然人",项目基本情况!B10="北京市"),C8*F33/(1+'数据-取费表'!C42),C34+C35+C36),0)</f>
        <v>0</v>
      </c>
      <c r="D33" s="1891" t="s">
        <v>649</v>
      </c>
      <c r="E33" s="1889" t="s">
        <v>682</v>
      </c>
      <c r="F33" s="3016">
        <f ca="1">IF(项目基本情况!B11="企业","——",IF('数据-取费表'!B10="住宅",IF(F8*F9*F10/12/(1+'数据-取费表'!F30)&gt;100000,4%,2.5%),IF(F8*F9*F10/12/(1+'数据-取费表'!F30)&gt;100000,12%,7%)))</f>
        <v>7.0000000000000007E-2</v>
      </c>
      <c r="G33" s="1943"/>
      <c r="H33" s="3254" t="s">
        <v>2987</v>
      </c>
      <c r="I33" s="1947"/>
      <c r="J33" s="1948"/>
      <c r="K33" s="1949"/>
      <c r="L33" s="1950"/>
      <c r="M33" s="1951"/>
    </row>
    <row r="34" spans="1:18" ht="18" customHeight="1">
      <c r="A34" s="791" t="s">
        <v>1863</v>
      </c>
      <c r="B34" s="772" t="s">
        <v>652</v>
      </c>
      <c r="C34" s="52">
        <f ca="1">ROUND(C8*F34/(1+'数据-取费表'!C42),1)</f>
        <v>0</v>
      </c>
      <c r="D34" s="1889" t="s">
        <v>653</v>
      </c>
      <c r="E34" s="772" t="s">
        <v>641</v>
      </c>
      <c r="F34" s="797">
        <f>'数据-取费表'!B41</f>
        <v>5.5000000000000007E-2</v>
      </c>
      <c r="G34" s="1943"/>
      <c r="H34" s="1952"/>
      <c r="I34" s="1953"/>
      <c r="J34" s="1954"/>
      <c r="K34" s="1955"/>
      <c r="L34" s="1956"/>
      <c r="M34" s="1957"/>
    </row>
    <row r="35" spans="1:18" ht="18" customHeight="1">
      <c r="A35" s="791" t="s">
        <v>1837</v>
      </c>
      <c r="B35" s="772" t="s">
        <v>656</v>
      </c>
      <c r="C35" s="52">
        <f ca="1">IF(D35="按租金收入计税",ROUND(C8*F35/(1+'数据-取费表'!C42),1),IF(D35="按房产原值计税",ROUND(C31*F35*0.7,1),INDIRECT("'数据-取费表'!Aj"&amp;$G$1)))</f>
        <v>0</v>
      </c>
      <c r="D35" s="798" t="s">
        <v>1668</v>
      </c>
      <c r="E35" s="772" t="s">
        <v>641</v>
      </c>
      <c r="F35" s="797">
        <f>IF(D35="按租金收入计税",'数据-取费表'!B51,'数据-取费表'!B50)</f>
        <v>1.2E-2</v>
      </c>
      <c r="G35" s="1943"/>
      <c r="H35" s="1958"/>
      <c r="I35" s="1958"/>
      <c r="J35" s="1958"/>
      <c r="K35" s="1959"/>
      <c r="L35" s="1958"/>
      <c r="M35" s="1958"/>
    </row>
    <row r="36" spans="1:18" ht="18" customHeight="1">
      <c r="A36" s="800" t="s">
        <v>1868</v>
      </c>
      <c r="B36" s="337" t="s">
        <v>660</v>
      </c>
      <c r="C36" s="53">
        <f ca="1">ROUND(F36*F37/10000,1)</f>
        <v>0</v>
      </c>
      <c r="D36" s="801" t="s">
        <v>661</v>
      </c>
      <c r="E36" s="772" t="s">
        <v>662</v>
      </c>
      <c r="F36" s="630">
        <f>'数据-取费表'!B52</f>
        <v>1.5</v>
      </c>
      <c r="G36" s="1943"/>
      <c r="H36" s="1946"/>
      <c r="I36" s="3665"/>
      <c r="J36" s="1960"/>
      <c r="K36" s="1961"/>
      <c r="L36" s="1960"/>
      <c r="M36" s="1960"/>
    </row>
    <row r="37" spans="1:18" ht="18" customHeight="1">
      <c r="A37" s="802"/>
      <c r="B37" s="781"/>
      <c r="C37" s="68"/>
      <c r="D37" s="803"/>
      <c r="E37" s="772" t="s">
        <v>666</v>
      </c>
      <c r="F37" s="773">
        <f ca="1">INDIRECT("'数据-取费表'!r"&amp;$G$1)</f>
        <v>0</v>
      </c>
      <c r="G37" s="1943"/>
      <c r="H37" s="1946"/>
      <c r="I37" s="3665"/>
      <c r="J37" s="1958"/>
      <c r="K37" s="1959"/>
      <c r="L37" s="1958"/>
      <c r="M37" s="1958"/>
    </row>
    <row r="38" spans="1:18" ht="18" customHeight="1">
      <c r="A38" s="791" t="s">
        <v>1865</v>
      </c>
      <c r="B38" s="772" t="s">
        <v>668</v>
      </c>
      <c r="C38" s="52">
        <f ca="1">ROUND(C31*F38,1)</f>
        <v>0</v>
      </c>
      <c r="D38" s="1889" t="s">
        <v>683</v>
      </c>
      <c r="E38" s="772" t="s">
        <v>641</v>
      </c>
      <c r="F38" s="804">
        <f ca="1">INDIRECT("'数据-取费表'!Ak"&amp;$G$1)</f>
        <v>0</v>
      </c>
      <c r="G38" s="1943"/>
      <c r="H38" s="1958"/>
      <c r="I38" s="3020"/>
      <c r="J38" s="1898"/>
      <c r="K38" s="1962"/>
      <c r="L38" s="1958"/>
      <c r="M38" s="1958"/>
    </row>
    <row r="39" spans="1:18" ht="18" customHeight="1">
      <c r="A39" s="791" t="s">
        <v>1866</v>
      </c>
      <c r="B39" s="772" t="s">
        <v>671</v>
      </c>
      <c r="C39" s="52">
        <f ca="1">ROUND(C15*F39,1)</f>
        <v>0</v>
      </c>
      <c r="D39" s="1889" t="s">
        <v>672</v>
      </c>
      <c r="E39" s="772" t="s">
        <v>641</v>
      </c>
      <c r="F39" s="805">
        <f ca="1">INDIRECT("'数据-取费表'!Al"&amp;$G$1)</f>
        <v>0</v>
      </c>
      <c r="G39" s="1943"/>
      <c r="H39" s="1958"/>
      <c r="I39" s="3020"/>
      <c r="J39" s="1898"/>
      <c r="K39" s="1962"/>
      <c r="L39" s="1958"/>
      <c r="M39" s="1958"/>
    </row>
    <row r="40" spans="1:18" ht="18" customHeight="1" thickBot="1">
      <c r="A40" s="2411" t="s">
        <v>1867</v>
      </c>
      <c r="B40" s="2397" t="s">
        <v>658</v>
      </c>
      <c r="C40" s="2395">
        <f ca="1">ROUND(C7*F40,1)</f>
        <v>0</v>
      </c>
      <c r="D40" s="2396" t="s">
        <v>675</v>
      </c>
      <c r="E40" s="2397" t="s">
        <v>641</v>
      </c>
      <c r="F40" s="2393">
        <f ca="1">INDIRECT("'数据-取费表'!Am"&amp;$G$1)</f>
        <v>0</v>
      </c>
      <c r="G40" s="1943"/>
      <c r="H40" s="1958"/>
      <c r="I40" s="3020"/>
      <c r="J40" s="1898"/>
      <c r="K40" s="1963"/>
      <c r="L40" s="1958"/>
      <c r="M40" s="1958"/>
    </row>
    <row r="41" spans="1:18" ht="18" customHeight="1" thickTop="1">
      <c r="A41" s="1742">
        <v>4</v>
      </c>
      <c r="B41" s="1740" t="s">
        <v>684</v>
      </c>
      <c r="C41" s="1304"/>
      <c r="D41" s="1305"/>
      <c r="E41" s="1305"/>
      <c r="F41" s="1306"/>
      <c r="G41" s="1943"/>
      <c r="H41" s="1943"/>
      <c r="I41" s="1943"/>
      <c r="J41" s="1943"/>
      <c r="K41" s="1963"/>
      <c r="L41" s="1943"/>
      <c r="M41" s="1943"/>
    </row>
    <row r="42" spans="1:18" ht="18" customHeight="1">
      <c r="A42" s="791" t="s">
        <v>1864</v>
      </c>
      <c r="B42" s="822" t="s">
        <v>685</v>
      </c>
      <c r="C42" s="816">
        <f ca="1">C7-C32</f>
        <v>0</v>
      </c>
      <c r="D42" s="1891" t="s">
        <v>686</v>
      </c>
      <c r="E42" s="1893"/>
      <c r="F42" s="807"/>
      <c r="G42" s="1943"/>
      <c r="H42" s="1943"/>
      <c r="I42" s="1943"/>
      <c r="J42" s="1943"/>
      <c r="K42" s="1963"/>
      <c r="L42" s="1943"/>
      <c r="M42" s="1943"/>
    </row>
    <row r="43" spans="1:18" ht="18" customHeight="1">
      <c r="A43" s="791" t="s">
        <v>1865</v>
      </c>
      <c r="B43" s="822" t="s">
        <v>703</v>
      </c>
      <c r="C43" s="823">
        <f ca="1">ROUND(C15*F43,0)</f>
        <v>0</v>
      </c>
      <c r="D43" s="1307" t="s">
        <v>704</v>
      </c>
      <c r="E43" s="2793" t="s">
        <v>2922</v>
      </c>
      <c r="F43" s="2794">
        <f ca="1">INDIRECT("'数据-取费表'!j"&amp;$G$1)</f>
        <v>0</v>
      </c>
      <c r="G43" s="1943"/>
      <c r="H43" s="1943"/>
      <c r="I43" s="1943"/>
      <c r="J43" s="1943"/>
      <c r="K43" s="1963"/>
      <c r="L43" s="1943"/>
      <c r="M43" s="1943"/>
    </row>
    <row r="44" spans="1:18" ht="18" customHeight="1">
      <c r="A44" s="791" t="s">
        <v>1866</v>
      </c>
      <c r="B44" s="822" t="s">
        <v>705</v>
      </c>
      <c r="C44" s="1308">
        <f ca="1">C42-C43</f>
        <v>0</v>
      </c>
      <c r="D44" s="455" t="s">
        <v>706</v>
      </c>
      <c r="E44" s="456"/>
      <c r="F44" s="457"/>
      <c r="G44" s="1943"/>
      <c r="H44" s="1943"/>
      <c r="I44" s="1943"/>
      <c r="J44" s="1943"/>
      <c r="K44" s="1963"/>
      <c r="L44" s="1943"/>
      <c r="M44" s="1943"/>
    </row>
    <row r="45" spans="1:18" ht="18" customHeight="1">
      <c r="A45" s="791" t="s">
        <v>1867</v>
      </c>
      <c r="B45" s="1307" t="s">
        <v>707</v>
      </c>
      <c r="C45" s="2749">
        <f ca="1">ROUND(-PV(F45,F46,C44,0),0)</f>
        <v>0</v>
      </c>
      <c r="D45" s="1309" t="s">
        <v>708</v>
      </c>
      <c r="E45" s="794" t="s">
        <v>709</v>
      </c>
      <c r="F45" s="817">
        <f ca="1">INDIRECT("'数据-取费表'!h"&amp;$G$1)</f>
        <v>0</v>
      </c>
      <c r="G45" s="1943"/>
      <c r="H45" s="1943"/>
      <c r="I45" s="1943"/>
      <c r="J45" s="1943"/>
      <c r="K45" s="1963"/>
      <c r="L45" s="1943"/>
      <c r="M45" s="1943"/>
    </row>
    <row r="46" spans="1:18" ht="18" customHeight="1" thickBot="1">
      <c r="A46" s="818"/>
      <c r="B46" s="1310"/>
      <c r="C46" s="1311"/>
      <c r="D46" s="1312"/>
      <c r="E46" s="2795" t="s">
        <v>2925</v>
      </c>
      <c r="F46" s="815">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2325</v>
      </c>
      <c r="J47" s="2232"/>
      <c r="K47" s="2233"/>
      <c r="L47" s="2809" t="str">
        <f ca="1">IF(M48="住宅",0,IF(L49&gt;J52,L61,J61))</f>
        <v>0</v>
      </c>
      <c r="O47" s="2247" t="s">
        <v>2392</v>
      </c>
      <c r="P47" s="1525"/>
      <c r="Q47" s="1533"/>
      <c r="R47" s="1525"/>
    </row>
    <row r="48" spans="1:18" s="1940" customFormat="1" ht="18" customHeight="1" thickBot="1">
      <c r="A48" s="1964"/>
      <c r="C48" s="1967"/>
      <c r="D48" s="1968"/>
      <c r="E48" s="1968"/>
      <c r="F48" s="1969"/>
      <c r="G48" s="1970"/>
      <c r="I48" s="2800" t="s">
        <v>2326</v>
      </c>
      <c r="J48" s="2234"/>
      <c r="K48" s="2806" t="s">
        <v>2331</v>
      </c>
      <c r="L48" s="2810">
        <f ca="1">INDIRECT("'数据-取费表'!d"&amp;$G$1)</f>
        <v>0</v>
      </c>
      <c r="M48" s="2792" t="str">
        <f>IF(ISNUMBER(FIND("住宅",C1)),"住宅","非住宅")</f>
        <v>非住宅</v>
      </c>
      <c r="O48" s="2248" t="s">
        <v>2357</v>
      </c>
      <c r="P48" s="2249" t="s">
        <v>2358</v>
      </c>
      <c r="Q48" s="2250" t="s">
        <v>2359</v>
      </c>
      <c r="R48" s="2249" t="s">
        <v>2360</v>
      </c>
    </row>
    <row r="49" spans="1:18" s="1940" customFormat="1" ht="18" customHeight="1" thickBot="1">
      <c r="A49" s="1964"/>
      <c r="D49" s="1971"/>
      <c r="E49" s="1972"/>
      <c r="F49" s="1969"/>
      <c r="G49" s="1970"/>
      <c r="H49" s="1973"/>
      <c r="I49" s="2797" t="s">
        <v>2327</v>
      </c>
      <c r="J49" s="2235"/>
      <c r="K49" s="2807" t="s">
        <v>2333</v>
      </c>
      <c r="L49" s="1820">
        <f ca="1">INDIRECT("'数据-取费表'!f"&amp;$G$1)</f>
        <v>0</v>
      </c>
      <c r="O49" s="2251" t="s">
        <v>2361</v>
      </c>
      <c r="P49" s="2252" t="s">
        <v>2387</v>
      </c>
      <c r="Q49" s="2253">
        <f ca="1">C41+J31</f>
        <v>0</v>
      </c>
      <c r="R49" s="2252" t="s">
        <v>2362</v>
      </c>
    </row>
    <row r="50" spans="1:18" s="1940" customFormat="1" ht="18" customHeight="1" thickBot="1">
      <c r="A50" s="1964"/>
      <c r="D50" s="1974"/>
      <c r="E50" s="1974"/>
      <c r="F50" s="1968"/>
      <c r="G50" s="1975"/>
      <c r="H50" s="1973"/>
      <c r="I50" s="2797" t="s">
        <v>2328</v>
      </c>
      <c r="J50" s="2236"/>
      <c r="K50" s="2808" t="s">
        <v>2334</v>
      </c>
      <c r="L50" s="2237"/>
      <c r="O50" s="2251" t="s">
        <v>2363</v>
      </c>
      <c r="P50" s="2252" t="s">
        <v>2388</v>
      </c>
      <c r="Q50" s="2253" t="str">
        <f ca="1">J61</f>
        <v>0</v>
      </c>
      <c r="R50" s="2252" t="s">
        <v>2364</v>
      </c>
    </row>
    <row r="51" spans="1:18" s="1940" customFormat="1" ht="18" customHeight="1" thickBot="1">
      <c r="A51" s="1976"/>
      <c r="D51" s="1974"/>
      <c r="E51" s="1974"/>
      <c r="F51" s="1965"/>
      <c r="H51" s="1973"/>
      <c r="I51" s="2797" t="s">
        <v>2329</v>
      </c>
      <c r="J51" s="2804">
        <f>SUMPRODUCT((I64:I66=J48)*(J63:L63=J49)*(J64:L66))</f>
        <v>0</v>
      </c>
      <c r="K51" s="2808" t="s">
        <v>2335</v>
      </c>
      <c r="L51" s="2237"/>
      <c r="O51" s="2254" t="s">
        <v>2365</v>
      </c>
      <c r="P51" s="2252" t="s">
        <v>2389</v>
      </c>
      <c r="Q51" s="2253">
        <f ca="1">C31</f>
        <v>0</v>
      </c>
      <c r="R51" s="2252" t="s">
        <v>2362</v>
      </c>
    </row>
    <row r="52" spans="1:18" s="1940" customFormat="1" ht="18" customHeight="1" thickBot="1">
      <c r="A52" s="1976"/>
      <c r="F52" s="1965"/>
      <c r="I52" s="2801" t="s">
        <v>2330</v>
      </c>
      <c r="J52" s="2805">
        <f>IF(J50="",J51,J50+J51-YEAR('数据-取费表'!B3))</f>
        <v>0</v>
      </c>
      <c r="K52" s="2797" t="s">
        <v>2336</v>
      </c>
      <c r="L52" s="2811">
        <f ca="1">C45</f>
        <v>0</v>
      </c>
      <c r="O52" s="2254" t="s">
        <v>2366</v>
      </c>
      <c r="P52" s="2252" t="s">
        <v>2367</v>
      </c>
      <c r="Q52" s="2255" t="e">
        <f ca="1">J59</f>
        <v>#VALUE!</v>
      </c>
      <c r="R52" s="2256"/>
    </row>
    <row r="53" spans="1:18" s="1940" customFormat="1" ht="18" customHeight="1" thickBot="1">
      <c r="A53" s="1976"/>
      <c r="F53" s="1965"/>
      <c r="I53" s="2802" t="s">
        <v>2403</v>
      </c>
      <c r="J53" s="2238"/>
      <c r="K53" s="2802" t="s">
        <v>2402</v>
      </c>
      <c r="L53" s="2238"/>
      <c r="O53" s="2254" t="s">
        <v>2368</v>
      </c>
      <c r="P53" s="2252" t="s">
        <v>2369</v>
      </c>
      <c r="Q53" s="2255">
        <f>J53</f>
        <v>0</v>
      </c>
      <c r="R53" s="2256"/>
    </row>
    <row r="54" spans="1:18" s="1940" customFormat="1" ht="29.25" thickBot="1">
      <c r="A54" s="1976"/>
      <c r="I54" s="2803" t="s">
        <v>2937</v>
      </c>
      <c r="J54" s="2856">
        <f ca="1">IF(M48="住宅",MAX(J52,L49-'数据-取费表'!B20),MIN(J52,L49-'数据-取费表'!B20))</f>
        <v>-1.5</v>
      </c>
      <c r="K54" s="3670"/>
      <c r="L54" s="3671"/>
      <c r="O54" s="2254" t="s">
        <v>2370</v>
      </c>
      <c r="P54" s="2252" t="s">
        <v>2371</v>
      </c>
      <c r="Q54" s="2253">
        <f ca="1">J54</f>
        <v>-1.5</v>
      </c>
      <c r="R54" s="2252" t="s">
        <v>2372</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2373</v>
      </c>
      <c r="P55" s="2252" t="s">
        <v>2390</v>
      </c>
      <c r="Q55" s="2253">
        <f ca="1">Q49+Q50</f>
        <v>0</v>
      </c>
      <c r="R55" s="2256" t="s">
        <v>2374</v>
      </c>
    </row>
    <row r="56" spans="1:18" s="1940" customFormat="1" ht="16.5" thickBot="1">
      <c r="A56" s="1976"/>
      <c r="B56" s="1977"/>
      <c r="C56" s="1977"/>
      <c r="I56" s="2814" t="s">
        <v>2337</v>
      </c>
      <c r="J56" s="2786" t="e">
        <f ca="1">ROUND(IF(J48="钢混",J58/J51,1-(1-2%)*(J51-J58)/J51),3)</f>
        <v>#VALUE!</v>
      </c>
      <c r="K56" s="2815" t="s">
        <v>2338</v>
      </c>
      <c r="L56" s="2239"/>
      <c r="O56" s="2257" t="s">
        <v>2393</v>
      </c>
      <c r="P56" s="1525"/>
      <c r="Q56" s="1533"/>
      <c r="R56" s="1525"/>
    </row>
    <row r="57" spans="1:18" s="1940" customFormat="1" ht="43.5" thickBot="1">
      <c r="A57" s="1976"/>
      <c r="B57" s="1977"/>
      <c r="C57" s="1977"/>
      <c r="I57" s="2816" t="s">
        <v>2339</v>
      </c>
      <c r="J57" s="2826" t="s">
        <v>1666</v>
      </c>
      <c r="K57" s="2797" t="s">
        <v>2344</v>
      </c>
      <c r="L57" s="1820">
        <f ca="1">IF(L49&lt;J52,"——",L49-J52)</f>
        <v>0</v>
      </c>
      <c r="O57" s="2248" t="s">
        <v>2357</v>
      </c>
      <c r="P57" s="2249" t="s">
        <v>2358</v>
      </c>
      <c r="Q57" s="2250" t="s">
        <v>2359</v>
      </c>
      <c r="R57" s="2249" t="s">
        <v>2360</v>
      </c>
    </row>
    <row r="58" spans="1:18" s="1940" customFormat="1" ht="29.25" thickBot="1">
      <c r="A58" s="1976"/>
      <c r="B58" s="1977"/>
      <c r="C58" s="1977"/>
      <c r="I58" s="2817" t="s">
        <v>2340</v>
      </c>
      <c r="J58" s="2818" t="str">
        <f ca="1">IF(OR(M48="住宅",J52&lt;L49,J57="是"),"——",J52-L49)</f>
        <v>——</v>
      </c>
      <c r="K58" s="2797" t="s">
        <v>2345</v>
      </c>
      <c r="L58" s="1820">
        <f ca="1">IF(L49&lt;J52,"——",IF(L56="比较法",L50,IF(L56="基准地价",L51,L52)))</f>
        <v>0</v>
      </c>
      <c r="O58" s="2251" t="s">
        <v>2361</v>
      </c>
      <c r="P58" s="2252" t="s">
        <v>2387</v>
      </c>
      <c r="Q58" s="2253">
        <f ca="1">C41+J31</f>
        <v>0</v>
      </c>
      <c r="R58" s="2252" t="s">
        <v>2362</v>
      </c>
    </row>
    <row r="59" spans="1:18" s="1940" customFormat="1" ht="29.25" thickBot="1">
      <c r="A59" s="1976"/>
      <c r="B59" s="1977"/>
      <c r="C59" s="1977"/>
      <c r="I59" s="2817" t="s">
        <v>2341</v>
      </c>
      <c r="J59" s="2787" t="e">
        <f ca="1">IF(J56&lt;0.4,0.4,J56)</f>
        <v>#VALUE!</v>
      </c>
      <c r="K59" s="2797" t="s">
        <v>2346</v>
      </c>
      <c r="L59" s="1820">
        <f ca="1">IF(ISERROR(POWER(1+L53,L48-L49)*(POWER(1+L53,L49)-1)/(POWER(1+L53,L48)-1)),0,POWER(1+L53,L48-L49)*(POWER(1+L53,L49)-1)/(POWER(1+L53,L48)-1))</f>
        <v>0</v>
      </c>
      <c r="O59" s="2251" t="s">
        <v>2363</v>
      </c>
      <c r="P59" s="2252" t="s">
        <v>2394</v>
      </c>
      <c r="Q59" s="2253" t="e">
        <f ca="1">L61</f>
        <v>#DIV/0!</v>
      </c>
      <c r="R59" s="2256" t="s">
        <v>2396</v>
      </c>
    </row>
    <row r="60" spans="1:18" s="1940" customFormat="1" ht="29.25" thickBot="1">
      <c r="A60" s="1976"/>
      <c r="B60" s="1977"/>
      <c r="C60" s="1977"/>
      <c r="I60" s="2817" t="s">
        <v>2342</v>
      </c>
      <c r="J60" s="2818" t="str">
        <f ca="1">IF(OR(M48="住宅",J52&lt;L49,J57="是"),"——",ROUND(C30*J59,0))</f>
        <v>——</v>
      </c>
      <c r="K60" s="2797" t="s">
        <v>2347</v>
      </c>
      <c r="L60" s="1820">
        <f ca="1">IF(ISERROR(POWER(1+L53,L48-J52)*(POWER(1+L53,J52)-1)/(POWER(1+L53,L48)-1)),0,POWER(1+L53,L48-J52)*(POWER(1+L53,J52)-1)/(POWER(1+L53,L48)-1))</f>
        <v>0</v>
      </c>
      <c r="O60" s="2254" t="s">
        <v>2365</v>
      </c>
      <c r="P60" s="2252" t="s">
        <v>2395</v>
      </c>
      <c r="Q60" s="2253">
        <f>IF(L56="比较法",L50,IF(L56="基准地价",L51,0))</f>
        <v>0</v>
      </c>
      <c r="R60" s="2252" t="s">
        <v>2362</v>
      </c>
    </row>
    <row r="61" spans="1:18" s="1940" customFormat="1" ht="15.75" thickBot="1">
      <c r="A61" s="1976"/>
      <c r="B61" s="1977"/>
      <c r="C61" s="1977"/>
      <c r="I61" s="2819" t="s">
        <v>2343</v>
      </c>
      <c r="J61" s="2820" t="str">
        <f ca="1">IF(OR(M48="住宅",J52&lt;L49,J57="是"),"0",ROUND(J60/(1+J53)^J54,0))</f>
        <v>0</v>
      </c>
      <c r="K61" s="2821" t="s">
        <v>2348</v>
      </c>
      <c r="L61" s="2820" t="e">
        <f ca="1">IF(OR(M48="住宅",L49&lt;J52),0,ROUND(L58*(L59/L60-1),0))</f>
        <v>#DIV/0!</v>
      </c>
      <c r="O61" s="2254" t="s">
        <v>2366</v>
      </c>
      <c r="P61" s="2252" t="s">
        <v>2375</v>
      </c>
      <c r="Q61" s="2255">
        <f>L53</f>
        <v>0</v>
      </c>
      <c r="R61" s="2256"/>
    </row>
    <row r="62" spans="1:18" s="1940" customFormat="1" ht="20.25" thickBot="1">
      <c r="A62" s="1976"/>
      <c r="B62" s="1977"/>
      <c r="C62" s="1977"/>
      <c r="K62" s="1966"/>
      <c r="O62" s="2254" t="s">
        <v>2368</v>
      </c>
      <c r="P62" s="2252" t="s">
        <v>2376</v>
      </c>
      <c r="Q62" s="2253">
        <f ca="1">L59</f>
        <v>0</v>
      </c>
      <c r="R62" s="2256" t="s">
        <v>2377</v>
      </c>
    </row>
    <row r="63" spans="1:18" s="1940" customFormat="1" ht="20.25" thickBot="1">
      <c r="A63" s="1976"/>
      <c r="B63" s="1977"/>
      <c r="C63" s="1977"/>
      <c r="I63" s="2822" t="s">
        <v>2349</v>
      </c>
      <c r="J63" s="2823" t="s">
        <v>2350</v>
      </c>
      <c r="K63" s="2823" t="s">
        <v>2351</v>
      </c>
      <c r="L63" s="2823" t="s">
        <v>2332</v>
      </c>
      <c r="M63" s="2824" t="s">
        <v>2905</v>
      </c>
      <c r="O63" s="2254" t="s">
        <v>2370</v>
      </c>
      <c r="P63" s="2252" t="s">
        <v>2378</v>
      </c>
      <c r="Q63" s="2253">
        <f ca="1">L60</f>
        <v>0</v>
      </c>
      <c r="R63" s="2256" t="s">
        <v>2379</v>
      </c>
    </row>
    <row r="64" spans="1:18" s="1940" customFormat="1" ht="15.75" thickBot="1">
      <c r="A64" s="1976"/>
      <c r="B64" s="1977"/>
      <c r="C64" s="1977"/>
      <c r="I64" s="2822" t="s">
        <v>2352</v>
      </c>
      <c r="J64" s="2823">
        <v>70</v>
      </c>
      <c r="K64" s="2823">
        <v>50</v>
      </c>
      <c r="L64" s="2823">
        <v>80</v>
      </c>
      <c r="M64" s="2825">
        <v>0.02</v>
      </c>
      <c r="O64" s="2251" t="s">
        <v>2373</v>
      </c>
      <c r="P64" s="2252" t="s">
        <v>2390</v>
      </c>
      <c r="Q64" s="2253" t="e">
        <f ca="1">Q58+Q59</f>
        <v>#DIV/0!</v>
      </c>
      <c r="R64" s="2256" t="s">
        <v>2374</v>
      </c>
    </row>
    <row r="65" spans="1:18" s="1940" customFormat="1" ht="16.5" thickBot="1">
      <c r="A65" s="1976"/>
      <c r="B65" s="1977"/>
      <c r="C65" s="1977"/>
      <c r="I65" s="2822" t="s">
        <v>2353</v>
      </c>
      <c r="J65" s="2823">
        <v>50</v>
      </c>
      <c r="K65" s="2823">
        <v>35</v>
      </c>
      <c r="L65" s="2823">
        <v>60</v>
      </c>
      <c r="M65" s="833">
        <v>0</v>
      </c>
      <c r="O65" s="2257" t="s">
        <v>2397</v>
      </c>
      <c r="P65" s="1525"/>
      <c r="Q65" s="1533"/>
      <c r="R65" s="1525"/>
    </row>
    <row r="66" spans="1:18" s="1940" customFormat="1" ht="15.75" thickBot="1">
      <c r="A66" s="1976"/>
      <c r="B66" s="1977"/>
      <c r="C66" s="1977"/>
      <c r="I66" s="2822" t="s">
        <v>2354</v>
      </c>
      <c r="J66" s="2823">
        <v>40</v>
      </c>
      <c r="K66" s="2823">
        <v>30</v>
      </c>
      <c r="L66" s="2823">
        <v>50</v>
      </c>
      <c r="M66" s="2825">
        <v>0.02</v>
      </c>
      <c r="O66" s="2248" t="s">
        <v>2357</v>
      </c>
      <c r="P66" s="2249" t="s">
        <v>2358</v>
      </c>
      <c r="Q66" s="2250" t="s">
        <v>2359</v>
      </c>
      <c r="R66" s="2249" t="s">
        <v>2360</v>
      </c>
    </row>
    <row r="67" spans="1:18" s="1940" customFormat="1" ht="15.75" thickBot="1">
      <c r="A67" s="1976"/>
      <c r="B67" s="1977"/>
      <c r="C67" s="1977"/>
      <c r="K67" s="1966"/>
      <c r="O67" s="2251" t="s">
        <v>2361</v>
      </c>
      <c r="P67" s="2252" t="s">
        <v>2387</v>
      </c>
      <c r="Q67" s="2253">
        <f ca="1">C41+J31</f>
        <v>0</v>
      </c>
      <c r="R67" s="2252" t="s">
        <v>2362</v>
      </c>
    </row>
    <row r="68" spans="1:18" s="1940" customFormat="1" ht="20.25" thickBot="1">
      <c r="A68" s="1976"/>
      <c r="B68" s="1977"/>
      <c r="C68" s="1977"/>
      <c r="K68" s="1966"/>
      <c r="O68" s="2251" t="s">
        <v>2363</v>
      </c>
      <c r="P68" s="2252" t="s">
        <v>2394</v>
      </c>
      <c r="Q68" s="2253" t="e">
        <f ca="1">L61</f>
        <v>#DIV/0!</v>
      </c>
      <c r="R68" s="2256" t="s">
        <v>2396</v>
      </c>
    </row>
    <row r="69" spans="1:18" s="1940" customFormat="1" ht="21.75" thickBot="1">
      <c r="A69" s="1976"/>
      <c r="B69" s="1977"/>
      <c r="C69" s="1977"/>
      <c r="K69" s="1966"/>
      <c r="O69" s="2254" t="s">
        <v>2365</v>
      </c>
      <c r="P69" s="2252" t="s">
        <v>2395</v>
      </c>
      <c r="Q69" s="2258">
        <f ca="1">L52</f>
        <v>0</v>
      </c>
      <c r="R69" s="2259" t="s">
        <v>2398</v>
      </c>
    </row>
    <row r="70" spans="1:18" s="1940" customFormat="1" ht="20.25" thickBot="1">
      <c r="A70" s="1976"/>
      <c r="B70" s="1977"/>
      <c r="C70" s="1977"/>
      <c r="K70" s="1966"/>
      <c r="O70" s="2254" t="s">
        <v>2366</v>
      </c>
      <c r="P70" s="2260" t="s">
        <v>2380</v>
      </c>
      <c r="Q70" s="2253">
        <f ca="1">ROUND(Q71-Q72*Q73,0)</f>
        <v>0</v>
      </c>
      <c r="R70" s="2256"/>
    </row>
    <row r="71" spans="1:18" s="1940" customFormat="1" ht="15.75" thickBot="1">
      <c r="A71" s="1976"/>
      <c r="B71" s="1977"/>
      <c r="C71" s="1977"/>
      <c r="K71" s="1966"/>
      <c r="O71" s="2254" t="s">
        <v>2381</v>
      </c>
      <c r="P71" s="2260" t="s">
        <v>2382</v>
      </c>
      <c r="Q71" s="2253">
        <f ca="1">C42</f>
        <v>0</v>
      </c>
      <c r="R71" s="2252" t="s">
        <v>2362</v>
      </c>
    </row>
    <row r="72" spans="1:18" s="1940" customFormat="1" ht="15.75" thickBot="1">
      <c r="A72" s="1976"/>
      <c r="B72" s="1977"/>
      <c r="C72" s="1977"/>
      <c r="K72" s="1966"/>
      <c r="O72" s="2254" t="s">
        <v>2383</v>
      </c>
      <c r="P72" s="2260" t="s">
        <v>2384</v>
      </c>
      <c r="Q72" s="2253">
        <f ca="1">C15</f>
        <v>0</v>
      </c>
      <c r="R72" s="2252" t="s">
        <v>2362</v>
      </c>
    </row>
    <row r="73" spans="1:18" s="1940" customFormat="1" ht="15.75" thickBot="1">
      <c r="A73" s="1976"/>
      <c r="B73" s="1977"/>
      <c r="C73" s="1977"/>
      <c r="K73" s="1966"/>
      <c r="O73" s="2254" t="s">
        <v>2385</v>
      </c>
      <c r="P73" s="2260" t="s">
        <v>2386</v>
      </c>
      <c r="Q73" s="2255">
        <f ca="1">F43</f>
        <v>0</v>
      </c>
      <c r="R73" s="2256"/>
    </row>
    <row r="74" spans="1:18" s="1940" customFormat="1" ht="15.75" thickBot="1">
      <c r="A74" s="1976"/>
      <c r="B74" s="1977"/>
      <c r="C74" s="1977"/>
      <c r="K74" s="1966"/>
      <c r="O74" s="2254" t="s">
        <v>2368</v>
      </c>
      <c r="P74" s="2252" t="s">
        <v>2375</v>
      </c>
      <c r="Q74" s="2255">
        <f>L53</f>
        <v>0</v>
      </c>
      <c r="R74" s="2256"/>
    </row>
    <row r="75" spans="1:18" s="1940" customFormat="1" ht="20.25" thickBot="1">
      <c r="A75" s="1976"/>
      <c r="B75" s="1977"/>
      <c r="C75" s="1977"/>
      <c r="K75" s="1966"/>
      <c r="O75" s="2254" t="s">
        <v>2370</v>
      </c>
      <c r="P75" s="2252" t="s">
        <v>2376</v>
      </c>
      <c r="Q75" s="2253">
        <f ca="1">L59</f>
        <v>0</v>
      </c>
      <c r="R75" s="2256" t="s">
        <v>2377</v>
      </c>
    </row>
    <row r="76" spans="1:18" s="1940" customFormat="1" ht="20.25" thickBot="1">
      <c r="A76" s="1976"/>
      <c r="B76" s="1977"/>
      <c r="C76" s="1977"/>
      <c r="K76" s="1966"/>
      <c r="O76" s="2254" t="s">
        <v>2399</v>
      </c>
      <c r="P76" s="2252" t="s">
        <v>2378</v>
      </c>
      <c r="Q76" s="2253">
        <f ca="1">L60</f>
        <v>0</v>
      </c>
      <c r="R76" s="2256" t="s">
        <v>2379</v>
      </c>
    </row>
    <row r="77" spans="1:18" s="1940" customFormat="1" ht="15.75" thickBot="1">
      <c r="A77" s="1976"/>
      <c r="B77" s="1977"/>
      <c r="C77" s="1977"/>
      <c r="K77" s="1966"/>
      <c r="O77" s="2251" t="s">
        <v>2373</v>
      </c>
      <c r="P77" s="2252" t="s">
        <v>2390</v>
      </c>
      <c r="Q77" s="2253" t="e">
        <f ca="1">Q67+Q68</f>
        <v>#DIV/0!</v>
      </c>
      <c r="R77" s="2256" t="s">
        <v>2374</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3" priority="6">
      <formula>$F$12="自定义"</formula>
    </cfRule>
  </conditionalFormatting>
  <conditionalFormatting sqref="J13">
    <cfRule type="expression" dxfId="132" priority="5">
      <formula>$M$10="自定义"</formula>
    </cfRule>
  </conditionalFormatting>
  <conditionalFormatting sqref="K56">
    <cfRule type="expression" dxfId="131" priority="3">
      <formula>$L$48&gt;$J$51</formula>
    </cfRule>
  </conditionalFormatting>
  <conditionalFormatting sqref="I56">
    <cfRule type="expression" dxfId="130" priority="4">
      <formula>$J$51&gt;$L$48</formula>
    </cfRule>
  </conditionalFormatting>
  <conditionalFormatting sqref="I61">
    <cfRule type="expression" dxfId="129" priority="2">
      <formula>$J$51&gt;$L$48</formula>
    </cfRule>
  </conditionalFormatting>
  <conditionalFormatting sqref="K61">
    <cfRule type="expression" dxfId="12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72" t="s">
        <v>2450</v>
      </c>
      <c r="B1" s="3673"/>
      <c r="C1" s="3674"/>
      <c r="D1" s="3675">
        <f>SUM(I10,I15,I20,I21,I23)</f>
        <v>0</v>
      </c>
      <c r="E1" s="3675"/>
      <c r="F1" s="3675"/>
      <c r="G1" s="3675"/>
      <c r="H1" s="3675"/>
      <c r="I1" s="3676"/>
    </row>
    <row r="2" spans="1:9">
      <c r="A2" s="3677" t="s">
        <v>2451</v>
      </c>
      <c r="B2" s="3678" t="s">
        <v>2452</v>
      </c>
      <c r="C2" s="3678"/>
      <c r="D2" s="2358" t="s">
        <v>2453</v>
      </c>
      <c r="E2" s="2358" t="s">
        <v>2454</v>
      </c>
      <c r="F2" s="2358" t="s">
        <v>2455</v>
      </c>
      <c r="G2" s="2358" t="s">
        <v>2456</v>
      </c>
      <c r="H2" s="2358" t="s">
        <v>2457</v>
      </c>
      <c r="I2" s="2359" t="s">
        <v>2458</v>
      </c>
    </row>
    <row r="3" spans="1:9">
      <c r="A3" s="3677"/>
      <c r="B3" s="3678" t="s">
        <v>2459</v>
      </c>
      <c r="C3" s="3678"/>
      <c r="D3" s="2360"/>
      <c r="E3" s="2358"/>
      <c r="F3" s="2361"/>
      <c r="G3" s="2361"/>
      <c r="H3" s="2362"/>
      <c r="I3" s="2363">
        <f>ROUND(D3*E3*F3*G3*H3/10000,0)</f>
        <v>0</v>
      </c>
    </row>
    <row r="4" spans="1:9">
      <c r="A4" s="3677"/>
      <c r="B4" s="3678" t="s">
        <v>2460</v>
      </c>
      <c r="C4" s="3678"/>
      <c r="D4" s="2360"/>
      <c r="E4" s="2358"/>
      <c r="F4" s="2361"/>
      <c r="G4" s="2361"/>
      <c r="H4" s="2362"/>
      <c r="I4" s="2363">
        <f t="shared" ref="I4:I9" si="0">ROUND(D4*E4*F4*G4*H4/10000,0)</f>
        <v>0</v>
      </c>
    </row>
    <row r="5" spans="1:9">
      <c r="A5" s="3677"/>
      <c r="B5" s="3678" t="s">
        <v>2461</v>
      </c>
      <c r="C5" s="3678"/>
      <c r="D5" s="2360"/>
      <c r="E5" s="2358"/>
      <c r="F5" s="2361"/>
      <c r="G5" s="2361"/>
      <c r="H5" s="2362"/>
      <c r="I5" s="2363">
        <f t="shared" si="0"/>
        <v>0</v>
      </c>
    </row>
    <row r="6" spans="1:9">
      <c r="A6" s="3677"/>
      <c r="B6" s="3678" t="s">
        <v>2462</v>
      </c>
      <c r="C6" s="3678"/>
      <c r="D6" s="2360"/>
      <c r="E6" s="2358"/>
      <c r="F6" s="2361"/>
      <c r="G6" s="2361"/>
      <c r="H6" s="2362"/>
      <c r="I6" s="2363">
        <f t="shared" si="0"/>
        <v>0</v>
      </c>
    </row>
    <row r="7" spans="1:9">
      <c r="A7" s="3677"/>
      <c r="B7" s="3678" t="s">
        <v>2463</v>
      </c>
      <c r="C7" s="3678"/>
      <c r="D7" s="2360"/>
      <c r="E7" s="2358"/>
      <c r="F7" s="2361"/>
      <c r="G7" s="2361"/>
      <c r="H7" s="2362"/>
      <c r="I7" s="2363">
        <f t="shared" si="0"/>
        <v>0</v>
      </c>
    </row>
    <row r="8" spans="1:9">
      <c r="A8" s="3677"/>
      <c r="B8" s="3678" t="s">
        <v>2464</v>
      </c>
      <c r="C8" s="3678"/>
      <c r="D8" s="2360"/>
      <c r="E8" s="2358"/>
      <c r="F8" s="2361"/>
      <c r="G8" s="2361"/>
      <c r="H8" s="2362"/>
      <c r="I8" s="2363">
        <f t="shared" si="0"/>
        <v>0</v>
      </c>
    </row>
    <row r="9" spans="1:9">
      <c r="A9" s="3677"/>
      <c r="B9" s="3678" t="s">
        <v>2465</v>
      </c>
      <c r="C9" s="3678"/>
      <c r="D9" s="2360"/>
      <c r="E9" s="2358"/>
      <c r="F9" s="2361"/>
      <c r="G9" s="2361"/>
      <c r="H9" s="2362"/>
      <c r="I9" s="2363">
        <f t="shared" si="0"/>
        <v>0</v>
      </c>
    </row>
    <row r="10" spans="1:9">
      <c r="A10" s="3677"/>
      <c r="B10" s="3679" t="s">
        <v>2466</v>
      </c>
      <c r="C10" s="3679"/>
      <c r="D10" s="2364">
        <v>527</v>
      </c>
      <c r="E10" s="2364" t="e">
        <f>ROUND(D1*10000/D10/H9,0)</f>
        <v>#DIV/0!</v>
      </c>
      <c r="F10" s="2365"/>
      <c r="G10" s="2365"/>
      <c r="H10" s="2366"/>
      <c r="I10" s="2367">
        <f>SUM(I3:I9)</f>
        <v>0</v>
      </c>
    </row>
    <row r="11" spans="1:9" ht="14.25">
      <c r="A11" s="3677" t="s">
        <v>2467</v>
      </c>
      <c r="B11" s="3678" t="s">
        <v>2468</v>
      </c>
      <c r="C11" s="3678"/>
      <c r="D11" s="2360" t="s">
        <v>2469</v>
      </c>
      <c r="E11" s="2360" t="s">
        <v>2470</v>
      </c>
      <c r="F11" s="2361" t="s">
        <v>2471</v>
      </c>
      <c r="G11" s="2361" t="s">
        <v>2472</v>
      </c>
      <c r="H11" s="2368" t="s">
        <v>2473</v>
      </c>
      <c r="I11" s="2359" t="s">
        <v>2474</v>
      </c>
    </row>
    <row r="12" spans="1:9">
      <c r="A12" s="3677"/>
      <c r="B12" s="3678" t="s">
        <v>2475</v>
      </c>
      <c r="C12" s="3678"/>
      <c r="D12" s="2360"/>
      <c r="E12" s="2360"/>
      <c r="F12" s="2361"/>
      <c r="G12" s="2362"/>
      <c r="H12" s="2369"/>
      <c r="I12" s="2359">
        <f>ROUND(D12*E12*F12*G12/10000,0)</f>
        <v>0</v>
      </c>
    </row>
    <row r="13" spans="1:9">
      <c r="A13" s="3677"/>
      <c r="B13" s="3678" t="s">
        <v>2476</v>
      </c>
      <c r="C13" s="3678"/>
      <c r="D13" s="2360"/>
      <c r="E13" s="2360"/>
      <c r="F13" s="2361"/>
      <c r="G13" s="2362"/>
      <c r="H13" s="2369"/>
      <c r="I13" s="2359">
        <f>ROUND(D13*E13*F13*G13/10000,0)</f>
        <v>0</v>
      </c>
    </row>
    <row r="14" spans="1:9">
      <c r="A14" s="3677"/>
      <c r="B14" s="3678" t="s">
        <v>2477</v>
      </c>
      <c r="C14" s="3678"/>
      <c r="D14" s="2360"/>
      <c r="E14" s="2360"/>
      <c r="F14" s="2361"/>
      <c r="G14" s="2362"/>
      <c r="H14" s="2369"/>
      <c r="I14" s="2359">
        <f>ROUND(D14*E14*F14*G14/10000,0)</f>
        <v>0</v>
      </c>
    </row>
    <row r="15" spans="1:9">
      <c r="A15" s="3677"/>
      <c r="B15" s="3679" t="s">
        <v>2466</v>
      </c>
      <c r="C15" s="3679"/>
      <c r="D15" s="2364"/>
      <c r="E15" s="2364">
        <f>SUM(E12:E14)</f>
        <v>0</v>
      </c>
      <c r="F15" s="2365"/>
      <c r="G15" s="2362"/>
      <c r="H15" s="2369"/>
      <c r="I15" s="2370">
        <f>SUM(I12:I14)</f>
        <v>0</v>
      </c>
    </row>
    <row r="16" spans="1:9" ht="24">
      <c r="A16" s="3677" t="s">
        <v>2478</v>
      </c>
      <c r="B16" s="3678" t="s">
        <v>2479</v>
      </c>
      <c r="C16" s="3678"/>
      <c r="D16" s="2360" t="s">
        <v>2480</v>
      </c>
      <c r="E16" s="2371" t="s">
        <v>2481</v>
      </c>
      <c r="F16" s="2361" t="s">
        <v>2482</v>
      </c>
      <c r="G16" s="2362" t="s">
        <v>2472</v>
      </c>
      <c r="H16" s="2368" t="s">
        <v>2473</v>
      </c>
      <c r="I16" s="2359" t="s">
        <v>2474</v>
      </c>
    </row>
    <row r="17" spans="1:9" ht="14.25">
      <c r="A17" s="3677"/>
      <c r="B17" s="3678" t="s">
        <v>2483</v>
      </c>
      <c r="C17" s="3678"/>
      <c r="D17" s="2360"/>
      <c r="E17" s="2360"/>
      <c r="F17" s="2361"/>
      <c r="G17" s="2362"/>
      <c r="H17" s="2372"/>
      <c r="I17" s="2373">
        <f>ROUND(D17*E17*F17*G17/10000,0)</f>
        <v>0</v>
      </c>
    </row>
    <row r="18" spans="1:9" ht="14.25">
      <c r="A18" s="3677"/>
      <c r="B18" s="3678" t="s">
        <v>2484</v>
      </c>
      <c r="C18" s="3678"/>
      <c r="D18" s="2360"/>
      <c r="E18" s="2360"/>
      <c r="F18" s="2361"/>
      <c r="G18" s="2362"/>
      <c r="H18" s="2372"/>
      <c r="I18" s="2373">
        <f>ROUND(D18*E18*F18*G18/10000,0)</f>
        <v>0</v>
      </c>
    </row>
    <row r="19" spans="1:9" ht="14.25">
      <c r="A19" s="3677"/>
      <c r="B19" s="3678" t="s">
        <v>2485</v>
      </c>
      <c r="C19" s="3678"/>
      <c r="D19" s="2360"/>
      <c r="E19" s="2360"/>
      <c r="F19" s="2361"/>
      <c r="G19" s="2362"/>
      <c r="H19" s="2372"/>
      <c r="I19" s="2373">
        <f>ROUND(D19*E19*F19*G19/10000,0)</f>
        <v>0</v>
      </c>
    </row>
    <row r="20" spans="1:9">
      <c r="A20" s="3677"/>
      <c r="B20" s="3679" t="s">
        <v>2466</v>
      </c>
      <c r="C20" s="3679"/>
      <c r="D20" s="2364">
        <f>SUM(D17:D19)</f>
        <v>0</v>
      </c>
      <c r="E20" s="2364"/>
      <c r="F20" s="2365"/>
      <c r="G20" s="2362"/>
      <c r="H20" s="2369"/>
      <c r="I20" s="2370">
        <f>SUM(I17:I19)</f>
        <v>0</v>
      </c>
    </row>
    <row r="21" spans="1:9">
      <c r="A21" s="3677" t="s">
        <v>2486</v>
      </c>
      <c r="B21" s="3681"/>
      <c r="C21" s="3681"/>
      <c r="D21" s="3681"/>
      <c r="E21" s="3681"/>
      <c r="F21" s="3681"/>
      <c r="G21" s="3681"/>
      <c r="H21" s="2374">
        <v>0.1</v>
      </c>
      <c r="I21" s="2367">
        <f>ROUND(I10*H21,0)</f>
        <v>0</v>
      </c>
    </row>
    <row r="22" spans="1:9" ht="14.25">
      <c r="A22" s="3682" t="s">
        <v>2487</v>
      </c>
      <c r="B22" s="3683"/>
      <c r="C22" s="3684"/>
      <c r="D22" s="2375" t="s">
        <v>2488</v>
      </c>
      <c r="E22" s="2375" t="s">
        <v>2489</v>
      </c>
      <c r="F22" s="2376" t="s">
        <v>2490</v>
      </c>
      <c r="G22" s="2376" t="s">
        <v>2491</v>
      </c>
      <c r="H22" s="2368" t="s">
        <v>2492</v>
      </c>
      <c r="I22" s="2359" t="s">
        <v>2493</v>
      </c>
    </row>
    <row r="23" spans="1:9" ht="14.25" thickBot="1">
      <c r="A23" s="3685"/>
      <c r="B23" s="3686"/>
      <c r="C23" s="3687"/>
      <c r="D23" s="2377"/>
      <c r="E23" s="2377"/>
      <c r="F23" s="2377"/>
      <c r="G23" s="2378"/>
      <c r="H23" s="2379"/>
      <c r="I23" s="2380">
        <f>ROUND(E23*D23*F23*(1-G23)/10000,0)</f>
        <v>0</v>
      </c>
    </row>
    <row r="26" spans="1:9">
      <c r="A26" s="2381" t="s">
        <v>2494</v>
      </c>
      <c r="B26" s="2381"/>
      <c r="C26" s="2381"/>
      <c r="D26" s="2381"/>
      <c r="E26" s="3688">
        <f>C27-C30-C31-C32</f>
        <v>0</v>
      </c>
      <c r="F26" s="3688"/>
      <c r="G26" s="3688"/>
      <c r="H26" s="2754" t="s">
        <v>2820</v>
      </c>
    </row>
    <row r="27" spans="1:9">
      <c r="A27" s="2382">
        <v>1</v>
      </c>
      <c r="B27" s="2383" t="s">
        <v>2495</v>
      </c>
      <c r="C27" s="2383"/>
      <c r="D27" s="2383"/>
      <c r="E27" s="3689"/>
      <c r="F27" s="3689"/>
      <c r="G27" s="3689"/>
    </row>
    <row r="28" spans="1:9">
      <c r="A28" s="2384" t="s">
        <v>2496</v>
      </c>
      <c r="B28" s="2383" t="s">
        <v>2497</v>
      </c>
      <c r="C28" s="2383"/>
      <c r="D28" s="2383"/>
      <c r="E28" s="3689"/>
      <c r="F28" s="3689"/>
      <c r="G28" s="3689"/>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3680"/>
      <c r="F32" s="3680"/>
      <c r="G32" s="3680"/>
    </row>
    <row r="33" spans="1:7" hidden="1">
      <c r="A33" s="3690" t="s">
        <v>2505</v>
      </c>
      <c r="B33" s="3691"/>
      <c r="C33" s="3691"/>
      <c r="D33" s="3692"/>
      <c r="E33" s="3688"/>
      <c r="F33" s="3688"/>
      <c r="G33" s="3688"/>
    </row>
    <row r="34" spans="1:7" hidden="1">
      <c r="A34" s="2386">
        <v>1</v>
      </c>
      <c r="B34" s="2383" t="s">
        <v>2506</v>
      </c>
      <c r="C34" s="2383"/>
      <c r="D34" s="2383"/>
      <c r="E34" s="3689"/>
      <c r="F34" s="3689"/>
      <c r="G34" s="3689"/>
    </row>
    <row r="35" spans="1:7" hidden="1">
      <c r="A35" s="2386">
        <v>2</v>
      </c>
      <c r="B35" s="2383" t="s">
        <v>2507</v>
      </c>
      <c r="C35" s="2383"/>
      <c r="D35" s="2383"/>
      <c r="E35" s="3689"/>
      <c r="F35" s="3689"/>
      <c r="G35" s="3689"/>
    </row>
    <row r="36" spans="1:7" hidden="1">
      <c r="A36" s="2386">
        <v>3</v>
      </c>
      <c r="B36" s="2383" t="s">
        <v>2508</v>
      </c>
      <c r="C36" s="2383"/>
      <c r="D36" s="2383"/>
      <c r="E36" s="3689"/>
      <c r="F36" s="3689"/>
      <c r="G36" s="3689"/>
    </row>
    <row r="37" spans="1:7" hidden="1">
      <c r="A37" s="2386">
        <v>4</v>
      </c>
      <c r="B37" s="2383" t="s">
        <v>2509</v>
      </c>
      <c r="C37" s="2383"/>
      <c r="D37" s="2383"/>
      <c r="E37" s="3689"/>
      <c r="F37" s="3689"/>
      <c r="G37" s="3689"/>
    </row>
    <row r="38" spans="1:7" hidden="1">
      <c r="A38" s="3690" t="s">
        <v>2510</v>
      </c>
      <c r="B38" s="3691"/>
      <c r="C38" s="3691"/>
      <c r="D38" s="3692"/>
      <c r="E38" s="3688"/>
      <c r="F38" s="3688"/>
      <c r="G38" s="36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3" t="s">
        <v>595</v>
      </c>
      <c r="B1" s="732"/>
      <c r="C1" s="2061"/>
      <c r="D1" s="2061"/>
      <c r="E1" s="2061"/>
      <c r="F1" s="2061"/>
      <c r="G1" s="1988"/>
    </row>
    <row r="2" spans="1:25" s="1940" customFormat="1" ht="18" customHeight="1">
      <c r="A2" s="415" t="s">
        <v>459</v>
      </c>
      <c r="B2" s="417" t="e">
        <f ca="1">C23</f>
        <v>#DIV/0!</v>
      </c>
      <c r="C2" s="3264"/>
      <c r="D2" s="3264"/>
      <c r="E2" s="3264"/>
      <c r="F2" s="3264"/>
      <c r="G2" s="3264"/>
    </row>
    <row r="3" spans="1:25" s="1940" customFormat="1" ht="18" customHeight="1">
      <c r="A3" s="1329" t="s">
        <v>1673</v>
      </c>
      <c r="B3" s="417" t="e">
        <f ca="1">ROUND(B2*10000/'数据-汇总表'!E3,0)</f>
        <v>#DIV/0!</v>
      </c>
      <c r="C3" s="3264"/>
      <c r="D3" s="3264"/>
      <c r="E3" s="3264"/>
      <c r="F3" s="3264"/>
      <c r="G3" s="3264"/>
    </row>
    <row r="4" spans="1:25" s="1940" customFormat="1" ht="18" customHeight="1">
      <c r="A4" s="418" t="s">
        <v>460</v>
      </c>
      <c r="B4" s="419" t="e">
        <f ca="1">ROUND(B2*10000/'数据-汇总表'!D3,0)</f>
        <v>#DIV/0!</v>
      </c>
      <c r="C4" s="3217"/>
      <c r="D4" s="3264"/>
      <c r="E4" s="3264"/>
      <c r="F4" s="3264"/>
      <c r="G4" s="3264"/>
    </row>
    <row r="5" spans="1:25" s="1940" customFormat="1" ht="18" customHeight="1" thickBot="1">
      <c r="A5" s="421"/>
      <c r="B5" s="422" t="e">
        <f ca="1">ROUND(B2/('数据-汇总表'!D3/666.67),0)</f>
        <v>#DIV/0!</v>
      </c>
      <c r="C5" s="423" t="s">
        <v>461</v>
      </c>
      <c r="D5" s="3264"/>
      <c r="E5" s="3264"/>
      <c r="F5" s="3264"/>
      <c r="G5" s="3264"/>
    </row>
    <row r="6" spans="1:25" s="2062" customFormat="1" ht="13.5" customHeight="1">
      <c r="A6" s="733"/>
      <c r="B6" s="734" t="s">
        <v>596</v>
      </c>
      <c r="C6" s="735" t="s">
        <v>597</v>
      </c>
      <c r="D6" s="735" t="s">
        <v>598</v>
      </c>
      <c r="E6" s="736" t="s">
        <v>599</v>
      </c>
      <c r="F6" s="736" t="s">
        <v>600</v>
      </c>
      <c r="G6" s="3263" t="s">
        <v>2989</v>
      </c>
    </row>
    <row r="7" spans="1:25" s="2062" customFormat="1" ht="13.5" customHeight="1">
      <c r="A7" s="2321">
        <v>1</v>
      </c>
      <c r="B7" s="737" t="s">
        <v>601</v>
      </c>
      <c r="C7" s="738">
        <f>C8+C9</f>
        <v>0</v>
      </c>
      <c r="D7" s="738"/>
      <c r="E7" s="739"/>
      <c r="F7" s="739"/>
      <c r="G7" s="2330"/>
    </row>
    <row r="8" spans="1:25" s="2062" customFormat="1" ht="13.5" customHeight="1">
      <c r="A8" s="2321" t="s">
        <v>2420</v>
      </c>
      <c r="B8" s="2324" t="s">
        <v>2422</v>
      </c>
      <c r="C8" s="3267">
        <f t="shared" ref="C8:C9" si="0">ROUND(D8*E8/10000,0)</f>
        <v>0</v>
      </c>
      <c r="D8" s="3267">
        <v>0</v>
      </c>
      <c r="E8" s="3268">
        <v>0</v>
      </c>
      <c r="F8" s="739"/>
      <c r="G8" s="740"/>
    </row>
    <row r="9" spans="1:25" s="2062" customFormat="1" ht="13.5" customHeight="1">
      <c r="A9" s="2321" t="s">
        <v>2421</v>
      </c>
      <c r="B9" s="2324" t="s">
        <v>2423</v>
      </c>
      <c r="C9" s="3267">
        <f t="shared" si="0"/>
        <v>0</v>
      </c>
      <c r="D9" s="3267">
        <v>0</v>
      </c>
      <c r="E9" s="3268">
        <v>0</v>
      </c>
      <c r="F9" s="739"/>
      <c r="G9" s="740"/>
    </row>
    <row r="10" spans="1:25" s="2062" customFormat="1" ht="36">
      <c r="A10" s="2321">
        <v>2</v>
      </c>
      <c r="B10" s="737" t="s">
        <v>605</v>
      </c>
      <c r="C10" s="738">
        <f>C11+C14+C15</f>
        <v>0</v>
      </c>
      <c r="D10" s="748"/>
      <c r="E10" s="738"/>
      <c r="F10" s="749"/>
      <c r="G10" s="747" t="s">
        <v>606</v>
      </c>
    </row>
    <row r="11" spans="1:25" s="2062" customFormat="1" ht="13.5" customHeight="1">
      <c r="A11" s="2321" t="s">
        <v>2420</v>
      </c>
      <c r="B11" s="741" t="s">
        <v>602</v>
      </c>
      <c r="C11" s="742">
        <f>'数据-取费表'!B29</f>
        <v>0</v>
      </c>
      <c r="D11" s="743"/>
      <c r="E11" s="742"/>
      <c r="F11" s="744"/>
      <c r="G11" s="2329" t="s">
        <v>2431</v>
      </c>
    </row>
    <row r="12" spans="1:25" s="2062" customFormat="1" ht="13.5" customHeight="1">
      <c r="A12" s="2327" t="s">
        <v>2428</v>
      </c>
      <c r="B12" s="745" t="s">
        <v>603</v>
      </c>
      <c r="C12" s="746">
        <f>ROUND(D12*E12/10000,0)</f>
        <v>0</v>
      </c>
      <c r="D12" s="3267">
        <f>'数据-汇总表'!E5</f>
        <v>0</v>
      </c>
      <c r="E12" s="3267">
        <f>'数据-取费表'!B27</f>
        <v>170</v>
      </c>
      <c r="F12" s="744"/>
      <c r="G12" s="747"/>
    </row>
    <row r="13" spans="1:25" s="2062" customFormat="1" ht="13.5" customHeight="1">
      <c r="A13" s="2327" t="s">
        <v>2427</v>
      </c>
      <c r="B13" s="745" t="s">
        <v>604</v>
      </c>
      <c r="C13" s="746">
        <f>ROUND(D13*E13/10000,0)</f>
        <v>616</v>
      </c>
      <c r="D13" s="3267">
        <f>'数据-汇总表'!E6</f>
        <v>30803.628000000001</v>
      </c>
      <c r="E13" s="3267">
        <f>'数据-取费表'!B28</f>
        <v>200</v>
      </c>
      <c r="F13" s="744"/>
      <c r="G13" s="747"/>
    </row>
    <row r="14" spans="1:25" s="2062" customFormat="1" ht="13.5" customHeight="1">
      <c r="A14" s="2321" t="s">
        <v>2421</v>
      </c>
      <c r="B14" s="2326" t="s">
        <v>2424</v>
      </c>
      <c r="C14" s="3269">
        <f t="shared" ref="C14:C15" si="1">ROUND(D14*E14/10000,0)</f>
        <v>0</v>
      </c>
      <c r="D14" s="3267">
        <v>0</v>
      </c>
      <c r="E14" s="3268">
        <v>0</v>
      </c>
      <c r="F14" s="2325"/>
      <c r="G14" s="2328" t="s">
        <v>2429</v>
      </c>
    </row>
    <row r="15" spans="1:25" s="2062" customFormat="1" ht="13.5" customHeight="1">
      <c r="A15" s="2321" t="s">
        <v>2426</v>
      </c>
      <c r="B15" s="2326" t="s">
        <v>2425</v>
      </c>
      <c r="C15" s="3269">
        <f t="shared" si="1"/>
        <v>0</v>
      </c>
      <c r="D15" s="3267">
        <v>0</v>
      </c>
      <c r="E15" s="3268">
        <v>0</v>
      </c>
      <c r="F15" s="2325"/>
      <c r="G15" s="2328" t="s">
        <v>2430</v>
      </c>
    </row>
    <row r="16" spans="1:25" s="2063" customFormat="1" ht="48">
      <c r="A16" s="2321">
        <v>3</v>
      </c>
      <c r="B16" s="737" t="s">
        <v>607</v>
      </c>
      <c r="C16" s="3269">
        <f t="shared" ref="C16" si="2">ROUND(D16*E16/10000,0)</f>
        <v>0</v>
      </c>
      <c r="D16" s="3267">
        <v>0</v>
      </c>
      <c r="E16" s="3268">
        <v>0</v>
      </c>
      <c r="F16" s="749"/>
      <c r="G16" s="747" t="s">
        <v>2432</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7" t="s">
        <v>608</v>
      </c>
      <c r="C17" s="2423">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7" t="s">
        <v>609</v>
      </c>
      <c r="C18" s="738">
        <f>ROUND((C7+C10+C16)*F18,0)</f>
        <v>0</v>
      </c>
      <c r="D18" s="750"/>
      <c r="E18" s="751"/>
      <c r="F18" s="1300">
        <v>0.05</v>
      </c>
      <c r="G18" s="753" t="s">
        <v>610</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7" t="s">
        <v>611</v>
      </c>
      <c r="C19" s="738">
        <f ca="1">C7+C10+C16+C17+C18</f>
        <v>0</v>
      </c>
      <c r="D19" s="748"/>
      <c r="E19" s="738"/>
      <c r="F19" s="749"/>
      <c r="G19" s="753" t="s">
        <v>612</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7" t="s">
        <v>613</v>
      </c>
      <c r="C20" s="738">
        <f ca="1">ROUND(C19*F20,0)</f>
        <v>0</v>
      </c>
      <c r="D20" s="748"/>
      <c r="E20" s="738"/>
      <c r="F20" s="1300">
        <v>0.1</v>
      </c>
      <c r="G20" s="753" t="s">
        <v>614</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7" t="s">
        <v>615</v>
      </c>
      <c r="C21" s="738">
        <f ca="1">C19+C20</f>
        <v>0</v>
      </c>
      <c r="D21" s="748"/>
      <c r="E21" s="738"/>
      <c r="F21" s="749"/>
      <c r="G21" s="753" t="s">
        <v>616</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7" t="s">
        <v>617</v>
      </c>
      <c r="C22" s="738" t="e">
        <f ca="1">ROUND(C21*F22,0)</f>
        <v>#DIV/0!</v>
      </c>
      <c r="D22" s="748"/>
      <c r="E22" s="738"/>
      <c r="F22" s="754" t="e">
        <f>'数据-取费表'!AP16</f>
        <v>#DIV/0!</v>
      </c>
      <c r="G22" s="753" t="s">
        <v>618</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5" t="s">
        <v>619</v>
      </c>
      <c r="C23" s="756" t="e">
        <f ca="1">C22</f>
        <v>#DIV/0!</v>
      </c>
      <c r="D23" s="757"/>
      <c r="E23" s="756"/>
      <c r="F23" s="758"/>
      <c r="G23" s="759"/>
      <c r="H23" s="2062"/>
      <c r="I23" s="2062"/>
      <c r="J23" s="2062"/>
      <c r="K23" s="2062"/>
      <c r="L23" s="2062"/>
      <c r="M23" s="2062"/>
      <c r="N23" s="2062"/>
      <c r="O23" s="2062"/>
      <c r="P23" s="2062"/>
      <c r="Q23" s="2062"/>
      <c r="R23" s="2062"/>
      <c r="S23" s="2062"/>
      <c r="T23" s="2062"/>
      <c r="U23" s="2062"/>
      <c r="V23" s="2062"/>
      <c r="W23" s="2062"/>
      <c r="X23" s="2062"/>
      <c r="Y23" s="2062"/>
    </row>
    <row r="24" spans="1:25" s="3266" customFormat="1">
      <c r="A24" s="3265"/>
      <c r="D24" s="1882"/>
      <c r="E24" s="1882"/>
    </row>
    <row r="25" spans="1:25" s="3266" customFormat="1">
      <c r="A25" s="3265"/>
      <c r="D25" s="1882"/>
      <c r="E25" s="1882"/>
    </row>
    <row r="26" spans="1:25" s="3266" customFormat="1">
      <c r="A26" s="3265"/>
      <c r="D26" s="1882"/>
      <c r="E26" s="1882"/>
    </row>
    <row r="27" spans="1:25" s="3266" customFormat="1">
      <c r="A27" s="3265"/>
      <c r="D27" s="1882"/>
      <c r="E27" s="1882"/>
    </row>
    <row r="28" spans="1:25" s="3266" customFormat="1">
      <c r="A28" s="3265"/>
      <c r="D28" s="1882"/>
      <c r="E28" s="1882"/>
    </row>
    <row r="29" spans="1:25" s="3266" customFormat="1">
      <c r="A29" s="3265"/>
      <c r="D29" s="1882"/>
      <c r="E29" s="1882"/>
    </row>
    <row r="30" spans="1:25" s="3266" customFormat="1">
      <c r="A30" s="3265"/>
      <c r="D30" s="1882"/>
      <c r="E30" s="1882"/>
    </row>
    <row r="31" spans="1:25" s="3266" customFormat="1">
      <c r="A31" s="3265"/>
      <c r="D31" s="1882"/>
      <c r="E31" s="1882"/>
    </row>
    <row r="32" spans="1:25" s="3266" customFormat="1">
      <c r="A32" s="3265"/>
      <c r="D32" s="1882"/>
      <c r="E32" s="1882"/>
    </row>
    <row r="33" spans="1:5" s="3266" customFormat="1">
      <c r="A33" s="3265"/>
      <c r="D33" s="1882"/>
      <c r="E33" s="1882"/>
    </row>
    <row r="34" spans="1:5" s="3266" customFormat="1">
      <c r="A34" s="3265"/>
      <c r="D34" s="1882"/>
      <c r="E34" s="1882"/>
    </row>
    <row r="35" spans="1:5" s="3266" customFormat="1">
      <c r="A35" s="3265"/>
      <c r="D35" s="1882"/>
      <c r="E35" s="1882"/>
    </row>
    <row r="36" spans="1:5" s="3266" customFormat="1">
      <c r="A36" s="3265"/>
      <c r="D36" s="1882"/>
      <c r="E36" s="1882"/>
    </row>
    <row r="37" spans="1:5" s="3266" customFormat="1">
      <c r="A37" s="3265"/>
      <c r="D37" s="1882"/>
      <c r="E37" s="1882"/>
    </row>
    <row r="38" spans="1:5" s="3266" customFormat="1">
      <c r="A38" s="3265"/>
      <c r="D38" s="1882"/>
      <c r="E38" s="1882"/>
    </row>
    <row r="39" spans="1:5" s="3266" customFormat="1">
      <c r="A39" s="3265"/>
      <c r="D39" s="1882"/>
      <c r="E39" s="1882"/>
    </row>
    <row r="40" spans="1:5" s="3266" customFormat="1">
      <c r="A40" s="3265"/>
      <c r="D40" s="1882"/>
      <c r="E40" s="1882"/>
    </row>
    <row r="41" spans="1:5" s="3266" customFormat="1">
      <c r="A41" s="3265"/>
      <c r="D41" s="1882"/>
      <c r="E41" s="1882"/>
    </row>
    <row r="42" spans="1:5" s="3266" customFormat="1">
      <c r="A42" s="3265"/>
      <c r="D42" s="1882"/>
      <c r="E42" s="1882"/>
    </row>
    <row r="43" spans="1:5" s="3266" customFormat="1">
      <c r="A43" s="3265"/>
      <c r="D43" s="1882"/>
      <c r="E43" s="1882"/>
    </row>
    <row r="44" spans="1:5" s="3266" customFormat="1">
      <c r="A44" s="3265"/>
      <c r="D44" s="1882"/>
      <c r="E44" s="1882"/>
    </row>
    <row r="45" spans="1:5" s="3266" customFormat="1">
      <c r="A45" s="3265"/>
      <c r="D45" s="1882"/>
      <c r="E45" s="1882"/>
    </row>
    <row r="46" spans="1:5" s="3266" customFormat="1">
      <c r="A46" s="3265"/>
      <c r="D46" s="1882"/>
      <c r="E46" s="1882"/>
    </row>
    <row r="47" spans="1:5" s="3266" customFormat="1">
      <c r="A47" s="3265"/>
      <c r="D47" s="1882"/>
      <c r="E47" s="1882"/>
    </row>
    <row r="48" spans="1:5" s="3266" customFormat="1">
      <c r="A48" s="3265"/>
      <c r="D48" s="1882"/>
      <c r="E48" s="1882"/>
    </row>
    <row r="49" spans="1:5" s="3266" customFormat="1">
      <c r="A49" s="3265"/>
      <c r="D49" s="1882"/>
      <c r="E49" s="1882"/>
    </row>
    <row r="50" spans="1:5" s="3266" customFormat="1">
      <c r="A50" s="3265"/>
      <c r="D50" s="1882"/>
      <c r="E50" s="1882"/>
    </row>
    <row r="51" spans="1:5" s="3266" customFormat="1">
      <c r="A51" s="3265"/>
      <c r="D51" s="1882"/>
      <c r="E51" s="1882"/>
    </row>
    <row r="52" spans="1:5" s="3266" customFormat="1">
      <c r="A52" s="3265"/>
      <c r="D52" s="1882"/>
      <c r="E52" s="1882"/>
    </row>
    <row r="53" spans="1:5" s="3266" customFormat="1">
      <c r="A53" s="3265"/>
      <c r="D53" s="1882"/>
      <c r="E53" s="1882"/>
    </row>
    <row r="54" spans="1:5" s="3266" customFormat="1">
      <c r="A54" s="3265"/>
      <c r="D54" s="1882"/>
      <c r="E54" s="1882"/>
    </row>
    <row r="55" spans="1:5" s="3266" customFormat="1">
      <c r="A55" s="3265"/>
      <c r="D55" s="1882"/>
      <c r="E55" s="1882"/>
    </row>
    <row r="56" spans="1:5" s="3266" customFormat="1">
      <c r="A56" s="3265"/>
      <c r="D56" s="1882"/>
      <c r="E56" s="1882"/>
    </row>
    <row r="57" spans="1:5" s="3266" customFormat="1">
      <c r="A57" s="3265"/>
      <c r="D57" s="1882"/>
      <c r="E57" s="1882"/>
    </row>
    <row r="58" spans="1:5" s="3266" customFormat="1">
      <c r="A58" s="3265"/>
      <c r="D58" s="1882"/>
      <c r="E58" s="1882"/>
    </row>
    <row r="59" spans="1:5" s="3266" customFormat="1">
      <c r="A59" s="3265"/>
      <c r="D59" s="1882"/>
      <c r="E59" s="1882"/>
    </row>
    <row r="60" spans="1:5" s="3266" customFormat="1">
      <c r="A60" s="3265"/>
      <c r="D60" s="1882"/>
      <c r="E60" s="1882"/>
    </row>
    <row r="61" spans="1:5" s="3266" customFormat="1">
      <c r="A61" s="3265"/>
      <c r="D61" s="1882"/>
      <c r="E61" s="1882"/>
    </row>
    <row r="62" spans="1:5" s="3266" customFormat="1">
      <c r="A62" s="3265"/>
      <c r="D62" s="1882"/>
      <c r="E62" s="1882"/>
    </row>
    <row r="63" spans="1:5" s="3266" customFormat="1">
      <c r="A63" s="3265"/>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sheetPr codeName="Sheet13">
    <tabColor rgb="FF92D050"/>
    <pageSetUpPr fitToPage="1"/>
  </sheetPr>
  <dimension ref="A1:AC268"/>
  <sheetViews>
    <sheetView view="pageBreakPreview" zoomScale="80" zoomScaleNormal="60" zoomScaleSheetLayoutView="80" workbookViewId="0">
      <selection activeCell="G10" sqref="G10"/>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2465" t="s">
        <v>711</v>
      </c>
      <c r="C1" s="2466" t="s">
        <v>712</v>
      </c>
      <c r="D1" s="2467"/>
      <c r="E1" s="2007"/>
      <c r="F1" s="2522"/>
      <c r="G1" s="1530" t="s">
        <v>713</v>
      </c>
      <c r="H1" s="498"/>
      <c r="I1" s="498"/>
      <c r="J1" s="498"/>
      <c r="K1" s="499"/>
      <c r="L1" s="3206"/>
      <c r="M1" s="3207"/>
      <c r="N1" s="3207"/>
      <c r="O1" s="3207"/>
      <c r="P1" s="1498"/>
      <c r="Q1" s="1498"/>
      <c r="R1" s="1498"/>
      <c r="S1" s="1498"/>
      <c r="T1" s="1498"/>
      <c r="U1" s="1498"/>
      <c r="V1" s="1498"/>
      <c r="W1" s="1498"/>
      <c r="X1" s="1498"/>
      <c r="Y1" s="1498"/>
      <c r="Z1" s="1498"/>
      <c r="AA1" s="1498"/>
      <c r="AB1" s="1498"/>
      <c r="AC1" s="1499"/>
    </row>
    <row r="2" spans="1:29" s="1313" customFormat="1" ht="28.5" customHeight="1">
      <c r="A2" s="415" t="s">
        <v>459</v>
      </c>
      <c r="B2" s="2464" t="e">
        <f>ROUND(B3*D3/10000,0)</f>
        <v>#DIV/0!</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1" t="s">
        <v>511</v>
      </c>
      <c r="B3" s="838" t="e">
        <f>C49</f>
        <v>#DIV/0!</v>
      </c>
      <c r="C3" s="839" t="s">
        <v>714</v>
      </c>
      <c r="D3" s="838">
        <f>SUMIF('数据-汇总表'!$C19:$C33,D1,'数据-汇总表'!$E19:$E33)</f>
        <v>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4" t="s">
        <v>513</v>
      </c>
      <c r="B4" s="505"/>
      <c r="C4" s="3584" t="s">
        <v>514</v>
      </c>
      <c r="D4" s="3585"/>
      <c r="E4" s="3618" t="s">
        <v>515</v>
      </c>
      <c r="F4" s="3619"/>
      <c r="G4" s="3584" t="s">
        <v>516</v>
      </c>
      <c r="H4" s="3585"/>
      <c r="I4" s="3584" t="s">
        <v>517</v>
      </c>
      <c r="J4" s="3585"/>
      <c r="K4" s="840" t="s">
        <v>518</v>
      </c>
      <c r="L4" s="2013"/>
      <c r="M4" s="2014"/>
      <c r="N4" s="2014"/>
      <c r="O4" s="2014"/>
      <c r="P4" s="3586" t="s">
        <v>519</v>
      </c>
      <c r="Q4" s="3587"/>
      <c r="R4" s="3592" t="s">
        <v>515</v>
      </c>
      <c r="S4" s="3593"/>
      <c r="T4" s="3592" t="s">
        <v>516</v>
      </c>
      <c r="U4" s="3593"/>
      <c r="V4" s="3579" t="s">
        <v>517</v>
      </c>
      <c r="W4" s="3579"/>
      <c r="X4" s="1500"/>
      <c r="Y4" s="3592" t="s">
        <v>519</v>
      </c>
      <c r="Z4" s="3593"/>
      <c r="AA4" s="3581" t="s">
        <v>515</v>
      </c>
      <c r="AB4" s="3581" t="s">
        <v>516</v>
      </c>
      <c r="AC4" s="3581" t="s">
        <v>517</v>
      </c>
    </row>
    <row r="5" spans="1:29" ht="15">
      <c r="A5" s="507"/>
      <c r="B5" s="508"/>
      <c r="C5" s="3600" t="s">
        <v>2892</v>
      </c>
      <c r="D5" s="3601"/>
      <c r="E5" s="3697" t="s">
        <v>3068</v>
      </c>
      <c r="F5" s="3621"/>
      <c r="G5" s="3696" t="s">
        <v>3067</v>
      </c>
      <c r="H5" s="3601"/>
      <c r="I5" s="3696" t="s">
        <v>3069</v>
      </c>
      <c r="J5" s="3601"/>
      <c r="K5" s="841"/>
      <c r="L5" s="2013"/>
      <c r="M5" s="2014"/>
      <c r="N5" s="2014"/>
      <c r="O5" s="2014"/>
      <c r="P5" s="3588"/>
      <c r="Q5" s="3589"/>
      <c r="R5" s="3594"/>
      <c r="S5" s="3595"/>
      <c r="T5" s="3594"/>
      <c r="U5" s="3595"/>
      <c r="V5" s="3579"/>
      <c r="W5" s="3579"/>
      <c r="X5" s="1500"/>
      <c r="Y5" s="3594"/>
      <c r="Z5" s="3595"/>
      <c r="AA5" s="3582"/>
      <c r="AB5" s="3582"/>
      <c r="AC5" s="3582"/>
    </row>
    <row r="6" spans="1:29" ht="15.75" thickBot="1">
      <c r="A6" s="509"/>
      <c r="B6" s="510"/>
      <c r="C6" s="3598" t="s">
        <v>2896</v>
      </c>
      <c r="D6" s="3599"/>
      <c r="E6" s="3616" t="s">
        <v>2896</v>
      </c>
      <c r="F6" s="3617"/>
      <c r="G6" s="3598" t="s">
        <v>2896</v>
      </c>
      <c r="H6" s="3599"/>
      <c r="I6" s="3598" t="s">
        <v>2896</v>
      </c>
      <c r="J6" s="3599"/>
      <c r="K6" s="841" t="s">
        <v>520</v>
      </c>
      <c r="L6" s="2013"/>
      <c r="M6" s="2014"/>
      <c r="N6" s="2014"/>
      <c r="O6" s="2014"/>
      <c r="P6" s="3590"/>
      <c r="Q6" s="3591"/>
      <c r="R6" s="3594"/>
      <c r="S6" s="3595"/>
      <c r="T6" s="3596"/>
      <c r="U6" s="3597"/>
      <c r="V6" s="3579"/>
      <c r="W6" s="3579"/>
      <c r="X6" s="1500"/>
      <c r="Y6" s="3596"/>
      <c r="Z6" s="3597"/>
      <c r="AA6" s="3583"/>
      <c r="AB6" s="3583"/>
      <c r="AC6" s="3583"/>
    </row>
    <row r="7" spans="1:29" s="1201" customFormat="1" ht="15.75" thickBot="1">
      <c r="A7" s="2627"/>
      <c r="B7" s="2634" t="s">
        <v>521</v>
      </c>
      <c r="C7" s="511">
        <f>'数据-取费表'!B2</f>
        <v>44424</v>
      </c>
      <c r="D7" s="512">
        <v>100</v>
      </c>
      <c r="E7" s="513">
        <v>44348</v>
      </c>
      <c r="F7" s="514">
        <f>SUMIF(58:58,YEAR(E7)&amp;"-"&amp;MONTH(E7),59:59)</f>
        <v>0</v>
      </c>
      <c r="G7" s="513">
        <v>44348</v>
      </c>
      <c r="H7" s="512">
        <f>SUMIF(58:58,YEAR(G7)&amp;"-"&amp;MONTH(G7),59:59)</f>
        <v>0</v>
      </c>
      <c r="I7" s="513">
        <v>44348</v>
      </c>
      <c r="J7" s="512">
        <f>SUMIF(58:58,YEAR(I7)&amp;"-"&amp;MONTH(I7),59:59)</f>
        <v>0</v>
      </c>
      <c r="K7" s="842"/>
      <c r="L7" s="2015"/>
      <c r="M7" s="2016"/>
      <c r="N7" s="2016"/>
      <c r="O7" s="2016"/>
      <c r="P7" s="3609" t="s">
        <v>522</v>
      </c>
      <c r="Q7" s="3611"/>
      <c r="R7" s="1501" t="s">
        <v>13</v>
      </c>
      <c r="S7" s="1502">
        <f t="shared" ref="S7:S15" si="0">F7</f>
        <v>0</v>
      </c>
      <c r="T7" s="1501" t="s">
        <v>13</v>
      </c>
      <c r="U7" s="1502">
        <f t="shared" ref="U7:U15" si="1">H7</f>
        <v>0</v>
      </c>
      <c r="V7" s="1501" t="s">
        <v>13</v>
      </c>
      <c r="W7" s="1502">
        <f t="shared" ref="W7:W15" si="2">J7</f>
        <v>0</v>
      </c>
      <c r="X7" s="1503"/>
      <c r="Y7" s="3609" t="s">
        <v>522</v>
      </c>
      <c r="Z7" s="3610"/>
      <c r="AA7" s="1504" t="e">
        <f>D7/F7</f>
        <v>#DIV/0!</v>
      </c>
      <c r="AB7" s="1504" t="e">
        <f>D7/H7</f>
        <v>#DIV/0!</v>
      </c>
      <c r="AC7" s="1504" t="e">
        <f>D7/J7</f>
        <v>#DIV/0!</v>
      </c>
    </row>
    <row r="8" spans="1:29" s="1201" customFormat="1" ht="15.75" thickBot="1">
      <c r="A8" s="2628"/>
      <c r="B8" s="2635" t="s">
        <v>523</v>
      </c>
      <c r="C8" s="517" t="s">
        <v>568</v>
      </c>
      <c r="D8" s="512">
        <v>100</v>
      </c>
      <c r="E8" s="843" t="s">
        <v>3070</v>
      </c>
      <c r="F8" s="514">
        <f>SUMIF(61:61,E8,62:62)-SUMIF(61:61,C8,62:62)+100</f>
        <v>100</v>
      </c>
      <c r="G8" s="517" t="s">
        <v>3070</v>
      </c>
      <c r="H8" s="512">
        <f>SUMIF(61:61,G8,62:62)-SUMIF(61:61,C8,62:62)+100</f>
        <v>100</v>
      </c>
      <c r="I8" s="843" t="s">
        <v>3070</v>
      </c>
      <c r="J8" s="512">
        <f>SUMIF(61:61,I8,62:62)-SUMIF(61:61,C8,62:62)+100</f>
        <v>100</v>
      </c>
      <c r="K8" s="842"/>
      <c r="L8" s="2015"/>
      <c r="M8" s="2016"/>
      <c r="N8" s="2016"/>
      <c r="O8" s="2016"/>
      <c r="P8" s="3609" t="s">
        <v>525</v>
      </c>
      <c r="Q8" s="3610"/>
      <c r="R8" s="1501" t="s">
        <v>13</v>
      </c>
      <c r="S8" s="1502">
        <f t="shared" si="0"/>
        <v>100</v>
      </c>
      <c r="T8" s="1501" t="s">
        <v>13</v>
      </c>
      <c r="U8" s="1502">
        <f t="shared" si="1"/>
        <v>100</v>
      </c>
      <c r="V8" s="1501" t="s">
        <v>13</v>
      </c>
      <c r="W8" s="1502">
        <f t="shared" si="2"/>
        <v>100</v>
      </c>
      <c r="X8" s="1503"/>
      <c r="Y8" s="3609" t="s">
        <v>525</v>
      </c>
      <c r="Z8" s="3610"/>
      <c r="AA8" s="1504">
        <f t="shared" ref="AA8:AA46" si="3">D8/F8</f>
        <v>1</v>
      </c>
      <c r="AB8" s="1504">
        <f t="shared" ref="AB8:AB46" si="4">D8/H8</f>
        <v>1</v>
      </c>
      <c r="AC8" s="1504">
        <f t="shared" ref="AC8:AC46" si="5">D8/J8</f>
        <v>1</v>
      </c>
    </row>
    <row r="9" spans="1:29" s="1201" customFormat="1" ht="15">
      <c r="A9" s="2629"/>
      <c r="B9" s="2636" t="s">
        <v>2734</v>
      </c>
      <c r="C9" s="3334" t="s">
        <v>3071</v>
      </c>
      <c r="D9" s="250">
        <v>100</v>
      </c>
      <c r="E9" s="845" t="s">
        <v>912</v>
      </c>
      <c r="F9" s="846">
        <f>SUMIF(63:63,E9,64:64)-SUMIF(63:63,C9,64:64)+100</f>
        <v>100</v>
      </c>
      <c r="G9" s="847" t="s">
        <v>912</v>
      </c>
      <c r="H9" s="250">
        <f>SUMIF(63:63,G9,64:64)-SUMIF(63:63,C9,64:64)+100</f>
        <v>100</v>
      </c>
      <c r="I9" s="847" t="s">
        <v>912</v>
      </c>
      <c r="J9" s="250">
        <f>SUMIF(63:63,I9,64:64)-SUMIF(63:63,C9,64:64)+100</f>
        <v>100</v>
      </c>
      <c r="K9" s="842"/>
      <c r="L9" s="2015"/>
      <c r="M9" s="2016"/>
      <c r="N9" s="2016"/>
      <c r="O9" s="2017"/>
      <c r="P9" s="3578" t="s">
        <v>527</v>
      </c>
      <c r="Q9" s="1132" t="str">
        <f t="shared" ref="Q9:Q15" si="6">B9</f>
        <v>用途</v>
      </c>
      <c r="R9" s="1501" t="s">
        <v>8</v>
      </c>
      <c r="S9" s="1502">
        <f t="shared" si="0"/>
        <v>100</v>
      </c>
      <c r="T9" s="1501" t="s">
        <v>8</v>
      </c>
      <c r="U9" s="1502">
        <f t="shared" si="1"/>
        <v>100</v>
      </c>
      <c r="V9" s="1501" t="s">
        <v>8</v>
      </c>
      <c r="W9" s="1502">
        <f t="shared" si="2"/>
        <v>100</v>
      </c>
      <c r="X9" s="1503"/>
      <c r="Y9" s="3524" t="s">
        <v>528</v>
      </c>
      <c r="Z9" s="1131" t="str">
        <f t="shared" ref="Z9:Z15" si="7">Q9</f>
        <v>用途</v>
      </c>
      <c r="AA9" s="1504">
        <f t="shared" si="3"/>
        <v>1</v>
      </c>
      <c r="AB9" s="1504">
        <f t="shared" si="4"/>
        <v>1</v>
      </c>
      <c r="AC9" s="1504">
        <f t="shared" si="5"/>
        <v>1</v>
      </c>
    </row>
    <row r="10" spans="1:29" s="1290" customFormat="1" ht="27">
      <c r="A10" s="2630"/>
      <c r="B10" s="2635" t="s">
        <v>2735</v>
      </c>
      <c r="C10" s="848" t="s">
        <v>3072</v>
      </c>
      <c r="D10" s="251">
        <v>100</v>
      </c>
      <c r="E10" s="849" t="s">
        <v>3072</v>
      </c>
      <c r="F10" s="850">
        <f>SUMIF(65:65,E10,66:66)-SUMIF(65:65,C10,66:66)+100</f>
        <v>100</v>
      </c>
      <c r="G10" s="848" t="s">
        <v>3072</v>
      </c>
      <c r="H10" s="251">
        <f>SUMIF(65:65,G10,66:66)-SUMIF(65:65,C10,66:66)+100</f>
        <v>100</v>
      </c>
      <c r="I10" s="848" t="s">
        <v>3072</v>
      </c>
      <c r="J10" s="251">
        <f>SUMIF(65:65,I10,66:66)-SUMIF(65:65,C10,66:66)+100</f>
        <v>100</v>
      </c>
      <c r="K10" s="851"/>
      <c r="L10" s="2018"/>
      <c r="M10" s="2057"/>
      <c r="N10" s="2057"/>
      <c r="O10" s="2019"/>
      <c r="P10" s="3578"/>
      <c r="Q10" s="1132" t="str">
        <f t="shared" si="6"/>
        <v>土地使用年限（年）</v>
      </c>
      <c r="R10" s="1501" t="s">
        <v>8</v>
      </c>
      <c r="S10" s="1502">
        <f t="shared" si="0"/>
        <v>100</v>
      </c>
      <c r="T10" s="1501" t="s">
        <v>8</v>
      </c>
      <c r="U10" s="1502">
        <f t="shared" si="1"/>
        <v>100</v>
      </c>
      <c r="V10" s="1501" t="s">
        <v>8</v>
      </c>
      <c r="W10" s="1502">
        <f t="shared" si="2"/>
        <v>100</v>
      </c>
      <c r="X10" s="1503"/>
      <c r="Y10" s="3524"/>
      <c r="Z10" s="1131" t="str">
        <f t="shared" si="7"/>
        <v>土地使用年限（年）</v>
      </c>
      <c r="AA10" s="1504">
        <f t="shared" si="3"/>
        <v>1</v>
      </c>
      <c r="AB10" s="1504">
        <f t="shared" si="4"/>
        <v>1</v>
      </c>
      <c r="AC10" s="1504">
        <f t="shared" si="5"/>
        <v>1</v>
      </c>
    </row>
    <row r="11" spans="1:29" ht="15">
      <c r="A11" s="2631"/>
      <c r="B11" s="2635" t="s">
        <v>2736</v>
      </c>
      <c r="C11" s="525">
        <v>1.6</v>
      </c>
      <c r="D11" s="251">
        <v>100</v>
      </c>
      <c r="E11" s="526"/>
      <c r="F11" s="850" t="e">
        <f>LOOKUP(E11,68:68,69:69)-LOOKUP(C11,68:68,69:69)+100</f>
        <v>#N/A</v>
      </c>
      <c r="G11" s="525"/>
      <c r="H11" s="251" t="e">
        <f>LOOKUP(G11,68:68,69:69)-LOOKUP(C11,68:68,69:69)+100</f>
        <v>#N/A</v>
      </c>
      <c r="I11" s="525"/>
      <c r="J11" s="251" t="e">
        <f>LOOKUP(I11,68:68,69:69)-LOOKUP(C11,68:68,69:69)+100</f>
        <v>#N/A</v>
      </c>
      <c r="K11" s="851"/>
      <c r="L11" s="2020"/>
      <c r="M11" s="2014"/>
      <c r="N11" s="2014"/>
      <c r="O11" s="2021"/>
      <c r="P11" s="3578"/>
      <c r="Q11" s="1132" t="str">
        <f t="shared" si="6"/>
        <v>容积率</v>
      </c>
      <c r="R11" s="1501" t="s">
        <v>11</v>
      </c>
      <c r="S11" s="1502" t="e">
        <f t="shared" si="0"/>
        <v>#N/A</v>
      </c>
      <c r="T11" s="1501" t="s">
        <v>11</v>
      </c>
      <c r="U11" s="1502" t="e">
        <f t="shared" si="1"/>
        <v>#N/A</v>
      </c>
      <c r="V11" s="1501" t="s">
        <v>11</v>
      </c>
      <c r="W11" s="1502" t="e">
        <f t="shared" si="2"/>
        <v>#N/A</v>
      </c>
      <c r="X11" s="1503"/>
      <c r="Y11" s="3524"/>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20"/>
      <c r="F12" s="850">
        <f>SUMIF(70:70,E12,71:71)-SUMIF(70:70,C12,71:71)+100</f>
        <v>100</v>
      </c>
      <c r="G12" s="520"/>
      <c r="H12" s="251">
        <f>SUMIF(70:70,G12,71:71)-SUMIF(70:70,C12,71:71)+100</f>
        <v>100</v>
      </c>
      <c r="I12" s="520"/>
      <c r="J12" s="251">
        <f>SUMIF(70:70,I12,71:71)-SUMIF(70:70,C12,71:71)+100</f>
        <v>100</v>
      </c>
      <c r="K12" s="852"/>
      <c r="L12" s="2015"/>
      <c r="M12" s="2016"/>
      <c r="N12" s="2016"/>
      <c r="O12" s="2017"/>
      <c r="P12" s="3578"/>
      <c r="Q12" s="1132">
        <f t="shared" si="6"/>
        <v>111</v>
      </c>
      <c r="R12" s="1501" t="s">
        <v>11</v>
      </c>
      <c r="S12" s="1502">
        <f t="shared" si="0"/>
        <v>100</v>
      </c>
      <c r="T12" s="1501" t="s">
        <v>11</v>
      </c>
      <c r="U12" s="1502">
        <f t="shared" si="1"/>
        <v>100</v>
      </c>
      <c r="V12" s="1501" t="s">
        <v>11</v>
      </c>
      <c r="W12" s="1502">
        <f t="shared" si="2"/>
        <v>100</v>
      </c>
      <c r="X12" s="1503"/>
      <c r="Y12" s="3524"/>
      <c r="Z12" s="1131">
        <f t="shared" si="7"/>
        <v>111</v>
      </c>
      <c r="AA12" s="1504">
        <f>D12/F12</f>
        <v>1</v>
      </c>
      <c r="AB12" s="1504">
        <f>D12/H12</f>
        <v>1</v>
      </c>
      <c r="AC12" s="1504">
        <f>D12/J12</f>
        <v>1</v>
      </c>
    </row>
    <row r="13" spans="1:29" ht="15">
      <c r="A13" s="2632"/>
      <c r="B13" s="2638">
        <v>111</v>
      </c>
      <c r="C13" s="531"/>
      <c r="D13" s="532">
        <v>100</v>
      </c>
      <c r="E13" s="531"/>
      <c r="F13" s="850">
        <f>SUMIF(72:72,E13,73:73)-SUMIF(72:72,C13,73:73)+100</f>
        <v>100</v>
      </c>
      <c r="G13" s="531"/>
      <c r="H13" s="532">
        <f>SUMIF(72:72,G13,73:73)-SUMIF(72:72,C13,73:73)+100</f>
        <v>100</v>
      </c>
      <c r="I13" s="531"/>
      <c r="J13" s="532">
        <f>SUMIF(72:72,I13,73:73)-SUMIF(72:72,C13,73:73)+100</f>
        <v>100</v>
      </c>
      <c r="K13" s="852"/>
      <c r="L13" s="2022"/>
      <c r="M13" s="2014"/>
      <c r="N13" s="2014"/>
      <c r="O13" s="2021"/>
      <c r="P13" s="3578"/>
      <c r="Q13" s="1132">
        <f t="shared" si="6"/>
        <v>111</v>
      </c>
      <c r="R13" s="1501" t="s">
        <v>11</v>
      </c>
      <c r="S13" s="1502">
        <f t="shared" si="0"/>
        <v>100</v>
      </c>
      <c r="T13" s="1501" t="s">
        <v>11</v>
      </c>
      <c r="U13" s="1502">
        <f t="shared" si="1"/>
        <v>100</v>
      </c>
      <c r="V13" s="1501" t="s">
        <v>11</v>
      </c>
      <c r="W13" s="1502">
        <f t="shared" si="2"/>
        <v>100</v>
      </c>
      <c r="X13" s="1503"/>
      <c r="Y13" s="3524"/>
      <c r="Z13" s="1131">
        <f t="shared" si="7"/>
        <v>111</v>
      </c>
      <c r="AA13" s="1504">
        <f t="shared" si="3"/>
        <v>1</v>
      </c>
      <c r="AB13" s="1504">
        <f t="shared" si="4"/>
        <v>1</v>
      </c>
      <c r="AC13" s="1504">
        <f t="shared" si="5"/>
        <v>1</v>
      </c>
    </row>
    <row r="14" spans="1:29" ht="15.75" thickBot="1">
      <c r="A14" s="2633"/>
      <c r="B14" s="2639">
        <v>111</v>
      </c>
      <c r="C14" s="537"/>
      <c r="D14" s="538">
        <v>100</v>
      </c>
      <c r="E14" s="537"/>
      <c r="F14" s="853">
        <f>SUMIF(74:74,E14,75:75)-SUMIF(74:74,C14,75:75)+100</f>
        <v>100</v>
      </c>
      <c r="G14" s="537"/>
      <c r="H14" s="538">
        <f>SUMIF(74:74,G14,75:75)-SUMIF(74:74,C14,75:75)+100</f>
        <v>100</v>
      </c>
      <c r="I14" s="537"/>
      <c r="J14" s="538">
        <f>SUMIF(74:74,I14,75:75)-SUMIF(74:74,C14,75:75)+100</f>
        <v>100</v>
      </c>
      <c r="K14" s="852"/>
      <c r="L14" s="2022"/>
      <c r="M14" s="2014"/>
      <c r="N14" s="2014"/>
      <c r="O14" s="2021"/>
      <c r="P14" s="3578"/>
      <c r="Q14" s="1132">
        <f t="shared" si="6"/>
        <v>111</v>
      </c>
      <c r="R14" s="1501" t="s">
        <v>11</v>
      </c>
      <c r="S14" s="1502">
        <f t="shared" si="0"/>
        <v>100</v>
      </c>
      <c r="T14" s="1501" t="s">
        <v>11</v>
      </c>
      <c r="U14" s="1502">
        <f t="shared" si="1"/>
        <v>100</v>
      </c>
      <c r="V14" s="1501" t="s">
        <v>11</v>
      </c>
      <c r="W14" s="1502">
        <f t="shared" si="2"/>
        <v>100</v>
      </c>
      <c r="X14" s="1503"/>
      <c r="Y14" s="3524"/>
      <c r="Z14" s="1131">
        <f t="shared" si="7"/>
        <v>111</v>
      </c>
      <c r="AA14" s="1504">
        <f t="shared" si="3"/>
        <v>1</v>
      </c>
      <c r="AB14" s="1504">
        <f t="shared" si="4"/>
        <v>1</v>
      </c>
      <c r="AC14" s="1504">
        <f t="shared" si="5"/>
        <v>1</v>
      </c>
    </row>
    <row r="15" spans="1:29" ht="99.75">
      <c r="A15" s="2625"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2"/>
      <c r="M15" s="2014"/>
      <c r="N15" s="2014"/>
      <c r="O15" s="2021"/>
      <c r="P15" s="3612" t="s">
        <v>532</v>
      </c>
      <c r="Q15" s="1505" t="str">
        <f t="shared" si="6"/>
        <v>居住社区成熟度</v>
      </c>
      <c r="R15" s="1506" t="s">
        <v>11</v>
      </c>
      <c r="S15" s="1507">
        <f t="shared" si="0"/>
        <v>100</v>
      </c>
      <c r="T15" s="1506" t="s">
        <v>11</v>
      </c>
      <c r="U15" s="1507">
        <f t="shared" si="1"/>
        <v>100</v>
      </c>
      <c r="V15" s="1506" t="s">
        <v>11</v>
      </c>
      <c r="W15" s="1507">
        <f t="shared" si="2"/>
        <v>100</v>
      </c>
      <c r="X15" s="1500"/>
      <c r="Y15" s="3612" t="s">
        <v>532</v>
      </c>
      <c r="Z15" s="1508" t="str">
        <f t="shared" si="7"/>
        <v>居住社区成熟度</v>
      </c>
      <c r="AA15" s="1509">
        <f t="shared" si="3"/>
        <v>1</v>
      </c>
      <c r="AB15" s="1509">
        <f t="shared" si="4"/>
        <v>1</v>
      </c>
      <c r="AC15" s="1509">
        <f t="shared" si="5"/>
        <v>1</v>
      </c>
    </row>
    <row r="16" spans="1:29" ht="15">
      <c r="A16" s="524"/>
      <c r="B16" s="856"/>
      <c r="C16" s="568"/>
      <c r="D16" s="547"/>
      <c r="E16" s="548"/>
      <c r="F16" s="549"/>
      <c r="G16" s="550"/>
      <c r="H16" s="551"/>
      <c r="I16" s="548"/>
      <c r="J16" s="547"/>
      <c r="K16" s="857"/>
      <c r="L16" s="2022"/>
      <c r="M16" s="2014"/>
      <c r="N16" s="2014"/>
      <c r="O16" s="2021"/>
      <c r="P16" s="3613"/>
      <c r="Q16" s="1505"/>
      <c r="R16" s="1506"/>
      <c r="S16" s="1507"/>
      <c r="T16" s="1506"/>
      <c r="U16" s="1507"/>
      <c r="V16" s="1506"/>
      <c r="W16" s="1507"/>
      <c r="X16" s="1500"/>
      <c r="Y16" s="3613"/>
      <c r="Z16" s="1508"/>
      <c r="AA16" s="1509">
        <v>1</v>
      </c>
      <c r="AB16" s="1509">
        <v>1</v>
      </c>
      <c r="AC16" s="1509">
        <v>1</v>
      </c>
    </row>
    <row r="17" spans="1:29" ht="156.75">
      <c r="A17" s="524"/>
      <c r="B17" s="858" t="s">
        <v>294</v>
      </c>
      <c r="C17" s="859" t="str">
        <f>估价对象房地状况!C6</f>
        <v>周边有通322路、342路、589路、667路、804路、808路、通19路、通41路、通62路等多条公交线路通过，距地铁6号线（北运河西站）约1公里，综合评价交通便捷度较好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2"/>
      <c r="M17" s="2014"/>
      <c r="N17" s="2014"/>
      <c r="O17" s="2021"/>
      <c r="P17" s="3613"/>
      <c r="Q17" s="1505" t="str">
        <f>B17</f>
        <v>交通便捷度</v>
      </c>
      <c r="R17" s="1506" t="s">
        <v>11</v>
      </c>
      <c r="S17" s="1507">
        <f>F17</f>
        <v>100</v>
      </c>
      <c r="T17" s="1506" t="s">
        <v>11</v>
      </c>
      <c r="U17" s="1507">
        <f>H17</f>
        <v>100</v>
      </c>
      <c r="V17" s="1506" t="s">
        <v>11</v>
      </c>
      <c r="W17" s="1507">
        <f>J17</f>
        <v>100</v>
      </c>
      <c r="X17" s="1500"/>
      <c r="Y17" s="3613"/>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57"/>
      <c r="L18" s="2022"/>
      <c r="M18" s="2014"/>
      <c r="N18" s="2014"/>
      <c r="O18" s="2021"/>
      <c r="P18" s="3613"/>
      <c r="Q18" s="1505"/>
      <c r="R18" s="1506"/>
      <c r="S18" s="1507"/>
      <c r="T18" s="1506"/>
      <c r="U18" s="1507"/>
      <c r="V18" s="1506"/>
      <c r="W18" s="1507"/>
      <c r="X18" s="1500"/>
      <c r="Y18" s="3613"/>
      <c r="Z18" s="1508"/>
      <c r="AA18" s="1509">
        <v>1</v>
      </c>
      <c r="AB18" s="1509">
        <v>1</v>
      </c>
      <c r="AC18" s="1509">
        <v>1</v>
      </c>
    </row>
    <row r="19" spans="1:29" ht="342">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55"/>
      <c r="L19" s="2022"/>
      <c r="M19" s="2014"/>
      <c r="N19" s="2014"/>
      <c r="O19" s="2021"/>
      <c r="P19" s="3613"/>
      <c r="Q19" s="1505" t="str">
        <f>B19</f>
        <v>公共配套设施</v>
      </c>
      <c r="R19" s="1506" t="s">
        <v>11</v>
      </c>
      <c r="S19" s="1507">
        <f>F19</f>
        <v>100</v>
      </c>
      <c r="T19" s="1506" t="s">
        <v>11</v>
      </c>
      <c r="U19" s="1507">
        <f>H19</f>
        <v>100</v>
      </c>
      <c r="V19" s="1506" t="s">
        <v>11</v>
      </c>
      <c r="W19" s="1507">
        <f>J19</f>
        <v>100</v>
      </c>
      <c r="X19" s="1500"/>
      <c r="Y19" s="3613"/>
      <c r="Z19" s="1508" t="str">
        <f>Q19</f>
        <v>公共配套设施</v>
      </c>
      <c r="AA19" s="1509">
        <f t="shared" si="3"/>
        <v>1</v>
      </c>
      <c r="AB19" s="1509">
        <f t="shared" si="4"/>
        <v>1</v>
      </c>
      <c r="AC19" s="1509">
        <f t="shared" si="5"/>
        <v>1</v>
      </c>
    </row>
    <row r="20" spans="1:29" ht="15">
      <c r="A20" s="524"/>
      <c r="B20" s="587"/>
      <c r="C20" s="568"/>
      <c r="D20" s="547"/>
      <c r="E20" s="548"/>
      <c r="F20" s="549"/>
      <c r="G20" s="550"/>
      <c r="H20" s="547"/>
      <c r="I20" s="548"/>
      <c r="J20" s="547"/>
      <c r="K20" s="857"/>
      <c r="L20" s="2022"/>
      <c r="M20" s="2014"/>
      <c r="N20" s="2014"/>
      <c r="O20" s="2021"/>
      <c r="P20" s="3613"/>
      <c r="Q20" s="1505"/>
      <c r="R20" s="1506"/>
      <c r="S20" s="1507"/>
      <c r="T20" s="1506"/>
      <c r="U20" s="1507"/>
      <c r="V20" s="1506"/>
      <c r="W20" s="1507"/>
      <c r="X20" s="1500"/>
      <c r="Y20" s="3613"/>
      <c r="Z20" s="1508"/>
      <c r="AA20" s="1509">
        <v>1</v>
      </c>
      <c r="AB20" s="1509">
        <v>1</v>
      </c>
      <c r="AC20" s="1509">
        <v>1</v>
      </c>
    </row>
    <row r="21" spans="1:29" ht="156.75">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55"/>
      <c r="L21" s="2022"/>
      <c r="M21" s="2014"/>
      <c r="N21" s="2014"/>
      <c r="O21" s="2021"/>
      <c r="P21" s="3613"/>
      <c r="Q21" s="2427" t="str">
        <f>B21</f>
        <v>基础设施水平</v>
      </c>
      <c r="R21" s="1506" t="s">
        <v>11</v>
      </c>
      <c r="S21" s="1507">
        <f>F21</f>
        <v>100</v>
      </c>
      <c r="T21" s="1506" t="s">
        <v>11</v>
      </c>
      <c r="U21" s="1507">
        <f>H21</f>
        <v>100</v>
      </c>
      <c r="V21" s="1506" t="s">
        <v>11</v>
      </c>
      <c r="W21" s="1507">
        <f>J21</f>
        <v>100</v>
      </c>
      <c r="X21" s="2429"/>
      <c r="Y21" s="3613"/>
      <c r="Z21" s="2428" t="str">
        <f>Q21</f>
        <v>基础设施水平</v>
      </c>
      <c r="AA21" s="1509">
        <f t="shared" ref="AA21" si="8">D21/F21</f>
        <v>1</v>
      </c>
      <c r="AB21" s="1509">
        <f t="shared" ref="AB21" si="9">D21/H21</f>
        <v>1</v>
      </c>
      <c r="AC21" s="1509">
        <f t="shared" ref="AC21" si="10">D21/J21</f>
        <v>1</v>
      </c>
    </row>
    <row r="22" spans="1:29" ht="15">
      <c r="A22" s="524"/>
      <c r="B22" s="909"/>
      <c r="C22" s="860"/>
      <c r="D22" s="547"/>
      <c r="E22" s="568"/>
      <c r="F22" s="549"/>
      <c r="G22" s="568"/>
      <c r="H22" s="547"/>
      <c r="I22" s="568"/>
      <c r="J22" s="547"/>
      <c r="K22" s="2441"/>
      <c r="L22" s="2022"/>
      <c r="M22" s="2014"/>
      <c r="N22" s="2014"/>
      <c r="O22" s="2021"/>
      <c r="P22" s="3613"/>
      <c r="Q22" s="2427"/>
      <c r="R22" s="1506"/>
      <c r="S22" s="1507"/>
      <c r="T22" s="1506"/>
      <c r="U22" s="1507"/>
      <c r="V22" s="1506"/>
      <c r="W22" s="1507"/>
      <c r="X22" s="2429"/>
      <c r="Y22" s="3613"/>
      <c r="Z22" s="2428"/>
      <c r="AA22" s="1509">
        <v>1</v>
      </c>
      <c r="AB22" s="1509">
        <v>1</v>
      </c>
      <c r="AC22" s="1509">
        <v>1</v>
      </c>
    </row>
    <row r="23" spans="1:29" ht="185.25">
      <c r="A23" s="524"/>
      <c r="B23" s="858" t="s">
        <v>295</v>
      </c>
      <c r="C23" s="85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100</v>
      </c>
      <c r="G23" s="556"/>
      <c r="H23" s="551">
        <f>SUMIF(84:84,G24,85:85)-SUMIF(84:84,C24,85:85)+100</f>
        <v>100</v>
      </c>
      <c r="I23" s="554"/>
      <c r="J23" s="551">
        <f>SUMIF(84:84,I24,85:85)-SUMIF(84:84,C24,85:85)+100</f>
        <v>100</v>
      </c>
      <c r="K23" s="855"/>
      <c r="L23" s="2022"/>
      <c r="M23" s="2014"/>
      <c r="N23" s="2014"/>
      <c r="O23" s="2021"/>
      <c r="P23" s="3613"/>
      <c r="Q23" s="1505" t="str">
        <f>B23</f>
        <v>自然及人文环境</v>
      </c>
      <c r="R23" s="1506" t="s">
        <v>11</v>
      </c>
      <c r="S23" s="1507">
        <f>F23</f>
        <v>100</v>
      </c>
      <c r="T23" s="1506" t="s">
        <v>11</v>
      </c>
      <c r="U23" s="1507">
        <f>H23</f>
        <v>100</v>
      </c>
      <c r="V23" s="1506" t="s">
        <v>11</v>
      </c>
      <c r="W23" s="1507">
        <f>J23</f>
        <v>100</v>
      </c>
      <c r="X23" s="1500"/>
      <c r="Y23" s="3613"/>
      <c r="Z23" s="1508" t="str">
        <f>Q23</f>
        <v>自然及人文环境</v>
      </c>
      <c r="AA23" s="1509">
        <f t="shared" si="3"/>
        <v>1</v>
      </c>
      <c r="AB23" s="1509">
        <f t="shared" si="4"/>
        <v>1</v>
      </c>
      <c r="AC23" s="1509">
        <f t="shared" si="5"/>
        <v>1</v>
      </c>
    </row>
    <row r="24" spans="1:29" ht="15">
      <c r="A24" s="524"/>
      <c r="B24" s="587"/>
      <c r="C24" s="568"/>
      <c r="D24" s="547"/>
      <c r="E24" s="548"/>
      <c r="F24" s="549"/>
      <c r="G24" s="550"/>
      <c r="H24" s="547"/>
      <c r="I24" s="548"/>
      <c r="J24" s="547"/>
      <c r="K24" s="857"/>
      <c r="L24" s="2022"/>
      <c r="M24" s="2014"/>
      <c r="N24" s="2014"/>
      <c r="O24" s="2021"/>
      <c r="P24" s="3613"/>
      <c r="Q24" s="1505"/>
      <c r="R24" s="1506"/>
      <c r="S24" s="1507"/>
      <c r="T24" s="1506"/>
      <c r="U24" s="1507"/>
      <c r="V24" s="1506"/>
      <c r="W24" s="1507"/>
      <c r="X24" s="1500"/>
      <c r="Y24" s="3613"/>
      <c r="Z24" s="1508"/>
      <c r="AA24" s="1509">
        <v>1</v>
      </c>
      <c r="AB24" s="1509">
        <v>1</v>
      </c>
      <c r="AC24" s="1509">
        <v>1</v>
      </c>
    </row>
    <row r="25" spans="1:29" ht="15">
      <c r="A25" s="524"/>
      <c r="B25" s="1807" t="s">
        <v>2242</v>
      </c>
      <c r="C25" s="566"/>
      <c r="D25" s="532">
        <v>100</v>
      </c>
      <c r="E25" s="861"/>
      <c r="F25" s="567">
        <f>SUMIF(86:86,E25,87:87)-SUMIF(86:86,C25,87:87)+100</f>
        <v>100</v>
      </c>
      <c r="G25" s="591"/>
      <c r="H25" s="532">
        <f>SUMIF(86:86,G25,87:87)-SUMIF(86:86,C25,87:87)+100</f>
        <v>100</v>
      </c>
      <c r="I25" s="861"/>
      <c r="J25" s="532">
        <f>SUMIF(86:86,I25,87:87)-SUMIF(86:86,C25,87:87)+100</f>
        <v>100</v>
      </c>
      <c r="K25" s="851"/>
      <c r="L25" s="2022"/>
      <c r="M25" s="2014"/>
      <c r="N25" s="2014"/>
      <c r="O25" s="2021"/>
      <c r="P25" s="3613"/>
      <c r="Q25" s="1505" t="str">
        <f t="shared" ref="Q25:Q46" si="11">B25</f>
        <v>楼层-1</v>
      </c>
      <c r="R25" s="1506" t="s">
        <v>11</v>
      </c>
      <c r="S25" s="1507">
        <f>F25</f>
        <v>100</v>
      </c>
      <c r="T25" s="1506" t="s">
        <v>11</v>
      </c>
      <c r="U25" s="1507">
        <f>H25</f>
        <v>100</v>
      </c>
      <c r="V25" s="1506" t="s">
        <v>11</v>
      </c>
      <c r="W25" s="1507">
        <f>J25</f>
        <v>100</v>
      </c>
      <c r="X25" s="1500"/>
      <c r="Y25" s="3613"/>
      <c r="Z25" s="1508" t="str">
        <f>Q25</f>
        <v>楼层-1</v>
      </c>
      <c r="AA25" s="1509">
        <f t="shared" si="3"/>
        <v>1</v>
      </c>
      <c r="AB25" s="1509">
        <f t="shared" si="4"/>
        <v>1</v>
      </c>
      <c r="AC25" s="1509">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2"/>
      <c r="M26" s="2014"/>
      <c r="N26" s="2014"/>
      <c r="O26" s="2021"/>
      <c r="P26" s="3613"/>
      <c r="Q26" s="1505" t="str">
        <f t="shared" si="11"/>
        <v>朝向</v>
      </c>
      <c r="R26" s="1506" t="s">
        <v>11</v>
      </c>
      <c r="S26" s="1507">
        <f>F26</f>
        <v>100</v>
      </c>
      <c r="T26" s="1506" t="s">
        <v>11</v>
      </c>
      <c r="U26" s="1507">
        <f>H26</f>
        <v>100</v>
      </c>
      <c r="V26" s="1506" t="s">
        <v>11</v>
      </c>
      <c r="W26" s="1507">
        <f>J26</f>
        <v>100</v>
      </c>
      <c r="X26" s="1500"/>
      <c r="Y26" s="3613"/>
      <c r="Z26" s="1508" t="str">
        <f>Q26</f>
        <v>朝向</v>
      </c>
      <c r="AA26" s="1509">
        <f t="shared" si="3"/>
        <v>1</v>
      </c>
      <c r="AB26" s="1509">
        <f t="shared" si="4"/>
        <v>1</v>
      </c>
      <c r="AC26" s="1509">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5"/>
      <c r="M27" s="2016"/>
      <c r="N27" s="2016"/>
      <c r="O27" s="2017"/>
      <c r="P27" s="3613"/>
      <c r="Q27" s="1132" t="str">
        <f t="shared" si="11"/>
        <v>道路级别</v>
      </c>
      <c r="R27" s="1501" t="s">
        <v>11</v>
      </c>
      <c r="S27" s="1502">
        <f>F27</f>
        <v>100</v>
      </c>
      <c r="T27" s="1501" t="s">
        <v>11</v>
      </c>
      <c r="U27" s="1502">
        <f>H27</f>
        <v>100</v>
      </c>
      <c r="V27" s="1501" t="s">
        <v>11</v>
      </c>
      <c r="W27" s="1502">
        <f>J27</f>
        <v>100</v>
      </c>
      <c r="X27" s="1503"/>
      <c r="Y27" s="3613"/>
      <c r="Z27" s="1131" t="str">
        <f>Q27</f>
        <v>道路级别</v>
      </c>
      <c r="AA27" s="1509">
        <f>D27/F27</f>
        <v>1</v>
      </c>
      <c r="AB27" s="1509">
        <f>D27/H27</f>
        <v>1</v>
      </c>
      <c r="AC27" s="1509">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2"/>
      <c r="M28" s="2014"/>
      <c r="N28" s="2014"/>
      <c r="O28" s="2021"/>
      <c r="P28" s="3613"/>
      <c r="Q28" s="1505">
        <f t="shared" si="11"/>
        <v>111</v>
      </c>
      <c r="R28" s="1506" t="s">
        <v>11</v>
      </c>
      <c r="S28" s="1507">
        <f t="shared" ref="S28:S46" si="12">F28</f>
        <v>100</v>
      </c>
      <c r="T28" s="1506" t="s">
        <v>11</v>
      </c>
      <c r="U28" s="1507">
        <f t="shared" ref="U28:U46" si="13">H28</f>
        <v>100</v>
      </c>
      <c r="V28" s="1506" t="s">
        <v>11</v>
      </c>
      <c r="W28" s="1507">
        <f t="shared" ref="W28:W46" si="14">J28</f>
        <v>100</v>
      </c>
      <c r="X28" s="1500"/>
      <c r="Y28" s="3613"/>
      <c r="Z28" s="1508">
        <f t="shared" ref="Z28:Z46" si="15">Q28</f>
        <v>111</v>
      </c>
      <c r="AA28" s="1509">
        <f t="shared" si="3"/>
        <v>1</v>
      </c>
      <c r="AB28" s="1509">
        <f t="shared" si="4"/>
        <v>1</v>
      </c>
      <c r="AC28" s="1509">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2"/>
      <c r="M29" s="2014"/>
      <c r="N29" s="2014"/>
      <c r="O29" s="2021"/>
      <c r="P29" s="3613"/>
      <c r="Q29" s="1505">
        <f t="shared" si="11"/>
        <v>111</v>
      </c>
      <c r="R29" s="1506" t="s">
        <v>11</v>
      </c>
      <c r="S29" s="1507">
        <f t="shared" si="12"/>
        <v>100</v>
      </c>
      <c r="T29" s="1506" t="s">
        <v>11</v>
      </c>
      <c r="U29" s="1507">
        <f t="shared" si="13"/>
        <v>100</v>
      </c>
      <c r="V29" s="1506" t="s">
        <v>11</v>
      </c>
      <c r="W29" s="1507">
        <f t="shared" si="14"/>
        <v>100</v>
      </c>
      <c r="X29" s="1500"/>
      <c r="Y29" s="3613"/>
      <c r="Z29" s="1508">
        <f t="shared" si="15"/>
        <v>111</v>
      </c>
      <c r="AA29" s="1509">
        <f t="shared" si="3"/>
        <v>1</v>
      </c>
      <c r="AB29" s="1509">
        <f t="shared" si="4"/>
        <v>1</v>
      </c>
      <c r="AC29" s="1509">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2"/>
      <c r="M30" s="2014"/>
      <c r="N30" s="2014"/>
      <c r="O30" s="2021"/>
      <c r="P30" s="3613"/>
      <c r="Q30" s="1505">
        <f t="shared" si="11"/>
        <v>111</v>
      </c>
      <c r="R30" s="1506" t="s">
        <v>11</v>
      </c>
      <c r="S30" s="1507">
        <f t="shared" si="12"/>
        <v>100</v>
      </c>
      <c r="T30" s="1506" t="s">
        <v>11</v>
      </c>
      <c r="U30" s="1507">
        <f t="shared" si="13"/>
        <v>100</v>
      </c>
      <c r="V30" s="1506" t="s">
        <v>11</v>
      </c>
      <c r="W30" s="1507">
        <f t="shared" si="14"/>
        <v>100</v>
      </c>
      <c r="X30" s="1500"/>
      <c r="Y30" s="3613"/>
      <c r="Z30" s="1508">
        <f t="shared" si="15"/>
        <v>111</v>
      </c>
      <c r="AA30" s="1509">
        <f t="shared" si="3"/>
        <v>1</v>
      </c>
      <c r="AB30" s="1509">
        <f t="shared" si="4"/>
        <v>1</v>
      </c>
      <c r="AC30" s="1509">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2"/>
      <c r="M31" s="2014"/>
      <c r="N31" s="2014"/>
      <c r="O31" s="2021"/>
      <c r="P31" s="3613"/>
      <c r="Q31" s="1505">
        <f t="shared" si="11"/>
        <v>111</v>
      </c>
      <c r="R31" s="1506" t="s">
        <v>11</v>
      </c>
      <c r="S31" s="1507">
        <f t="shared" si="12"/>
        <v>100</v>
      </c>
      <c r="T31" s="1506" t="s">
        <v>11</v>
      </c>
      <c r="U31" s="1507">
        <f t="shared" si="13"/>
        <v>100</v>
      </c>
      <c r="V31" s="1506" t="s">
        <v>11</v>
      </c>
      <c r="W31" s="1507">
        <f t="shared" si="14"/>
        <v>100</v>
      </c>
      <c r="X31" s="1500"/>
      <c r="Y31" s="3613"/>
      <c r="Z31" s="1508">
        <f t="shared" si="15"/>
        <v>111</v>
      </c>
      <c r="AA31" s="1509">
        <f t="shared" si="3"/>
        <v>1</v>
      </c>
      <c r="AB31" s="1509">
        <f t="shared" si="4"/>
        <v>1</v>
      </c>
      <c r="AC31" s="1509">
        <f t="shared" si="5"/>
        <v>1</v>
      </c>
    </row>
    <row r="32" spans="1:29" ht="15">
      <c r="A32" s="2622"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2"/>
      <c r="M32" s="2014"/>
      <c r="N32" s="2014"/>
      <c r="O32" s="2021"/>
      <c r="P32" s="3614" t="s">
        <v>542</v>
      </c>
      <c r="Q32" s="1505" t="str">
        <f t="shared" si="11"/>
        <v>建筑类型</v>
      </c>
      <c r="R32" s="1506" t="s">
        <v>11</v>
      </c>
      <c r="S32" s="1507">
        <f t="shared" si="12"/>
        <v>100</v>
      </c>
      <c r="T32" s="1506" t="s">
        <v>11</v>
      </c>
      <c r="U32" s="1507">
        <f t="shared" si="13"/>
        <v>100</v>
      </c>
      <c r="V32" s="1506" t="s">
        <v>11</v>
      </c>
      <c r="W32" s="1507">
        <f t="shared" si="14"/>
        <v>100</v>
      </c>
      <c r="X32" s="1500"/>
      <c r="Y32" s="3615" t="s">
        <v>542</v>
      </c>
      <c r="Z32" s="1508" t="str">
        <f t="shared" si="15"/>
        <v>建筑类型</v>
      </c>
      <c r="AA32" s="1509">
        <f t="shared" si="3"/>
        <v>1</v>
      </c>
      <c r="AB32" s="1509">
        <f t="shared" si="4"/>
        <v>1</v>
      </c>
      <c r="AC32" s="1509">
        <f t="shared" si="5"/>
        <v>1</v>
      </c>
    </row>
    <row r="33" spans="1:29" s="1291" customFormat="1" ht="15">
      <c r="A33" s="595"/>
      <c r="B33" s="519" t="s">
        <v>718</v>
      </c>
      <c r="C33" s="867"/>
      <c r="D33" s="251">
        <v>100</v>
      </c>
      <c r="E33" s="526"/>
      <c r="F33" s="850" t="e">
        <f>LOOKUP(E33,103:103,104:104)-LOOKUP(C33,103:103,104:104)+100</f>
        <v>#N/A</v>
      </c>
      <c r="G33" s="525"/>
      <c r="H33" s="251" t="e">
        <f>LOOKUP(G33,103:103,104:104)-LOOKUP(C33,103:103,104:104)+100</f>
        <v>#N/A</v>
      </c>
      <c r="I33" s="526"/>
      <c r="J33" s="251" t="e">
        <f>LOOKUP(I33,103:103,104:104)-LOOKUP(C33,103:103,104:104)+100</f>
        <v>#N/A</v>
      </c>
      <c r="K33" s="852"/>
      <c r="L33" s="2020"/>
      <c r="M33" s="2050"/>
      <c r="N33" s="2050"/>
      <c r="O33" s="2023"/>
      <c r="P33" s="3615"/>
      <c r="Q33" s="1534" t="str">
        <f t="shared" si="11"/>
        <v>项目建筑规模</v>
      </c>
      <c r="R33" s="1510" t="s">
        <v>11</v>
      </c>
      <c r="S33" s="1511" t="e">
        <f t="shared" si="12"/>
        <v>#N/A</v>
      </c>
      <c r="T33" s="1510" t="s">
        <v>11</v>
      </c>
      <c r="U33" s="1511" t="e">
        <f t="shared" si="13"/>
        <v>#N/A</v>
      </c>
      <c r="V33" s="1510" t="s">
        <v>11</v>
      </c>
      <c r="W33" s="1511" t="e">
        <f t="shared" si="14"/>
        <v>#N/A</v>
      </c>
      <c r="X33" s="1512"/>
      <c r="Y33" s="3615"/>
      <c r="Z33" s="1513" t="str">
        <f t="shared" si="15"/>
        <v>项目建筑规模</v>
      </c>
      <c r="AA33" s="1509" t="e">
        <f t="shared" si="3"/>
        <v>#N/A</v>
      </c>
      <c r="AB33" s="1509" t="e">
        <f t="shared" si="4"/>
        <v>#N/A</v>
      </c>
      <c r="AC33" s="1509"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2"/>
      <c r="M34" s="2014"/>
      <c r="N34" s="2014"/>
      <c r="O34" s="2021"/>
      <c r="P34" s="3615"/>
      <c r="Q34" s="1505" t="str">
        <f t="shared" si="11"/>
        <v>建筑结构</v>
      </c>
      <c r="R34" s="1506" t="s">
        <v>11</v>
      </c>
      <c r="S34" s="1507">
        <f t="shared" si="12"/>
        <v>100</v>
      </c>
      <c r="T34" s="1506" t="s">
        <v>11</v>
      </c>
      <c r="U34" s="1507">
        <f t="shared" si="13"/>
        <v>100</v>
      </c>
      <c r="V34" s="1506" t="s">
        <v>11</v>
      </c>
      <c r="W34" s="1507">
        <f t="shared" si="14"/>
        <v>100</v>
      </c>
      <c r="X34" s="1500"/>
      <c r="Y34" s="3615"/>
      <c r="Z34" s="1508" t="str">
        <f t="shared" si="15"/>
        <v>建筑结构</v>
      </c>
      <c r="AA34" s="1509">
        <f t="shared" si="3"/>
        <v>1</v>
      </c>
      <c r="AB34" s="1509">
        <f t="shared" si="4"/>
        <v>1</v>
      </c>
      <c r="AC34" s="1509">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2"/>
      <c r="M35" s="2014"/>
      <c r="N35" s="2014"/>
      <c r="O35" s="2021"/>
      <c r="P35" s="3615"/>
      <c r="Q35" s="1505" t="str">
        <f t="shared" si="11"/>
        <v>建筑品质</v>
      </c>
      <c r="R35" s="1506" t="s">
        <v>11</v>
      </c>
      <c r="S35" s="1507">
        <f t="shared" si="12"/>
        <v>100</v>
      </c>
      <c r="T35" s="1506" t="s">
        <v>11</v>
      </c>
      <c r="U35" s="1507">
        <f t="shared" si="13"/>
        <v>100</v>
      </c>
      <c r="V35" s="1506" t="s">
        <v>11</v>
      </c>
      <c r="W35" s="1507">
        <f t="shared" si="14"/>
        <v>100</v>
      </c>
      <c r="X35" s="1500"/>
      <c r="Y35" s="3615"/>
      <c r="Z35" s="1508" t="str">
        <f t="shared" si="15"/>
        <v>建筑品质</v>
      </c>
      <c r="AA35" s="1509">
        <f t="shared" si="3"/>
        <v>1</v>
      </c>
      <c r="AB35" s="1509">
        <f t="shared" si="4"/>
        <v>1</v>
      </c>
      <c r="AC35" s="1509">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2"/>
      <c r="M36" s="2014"/>
      <c r="N36" s="2014"/>
      <c r="O36" s="2021"/>
      <c r="P36" s="3615"/>
      <c r="Q36" s="1505" t="str">
        <f t="shared" si="11"/>
        <v>公共部分装修</v>
      </c>
      <c r="R36" s="1506" t="s">
        <v>11</v>
      </c>
      <c r="S36" s="1507">
        <f t="shared" si="12"/>
        <v>100</v>
      </c>
      <c r="T36" s="1506" t="s">
        <v>11</v>
      </c>
      <c r="U36" s="1507">
        <f t="shared" si="13"/>
        <v>100</v>
      </c>
      <c r="V36" s="1506" t="s">
        <v>11</v>
      </c>
      <c r="W36" s="1507">
        <f t="shared" si="14"/>
        <v>100</v>
      </c>
      <c r="X36" s="1500"/>
      <c r="Y36" s="3615"/>
      <c r="Z36" s="1508" t="str">
        <f t="shared" si="15"/>
        <v>公共部分装修</v>
      </c>
      <c r="AA36" s="1509">
        <f t="shared" si="3"/>
        <v>1</v>
      </c>
      <c r="AB36" s="1509">
        <f t="shared" si="4"/>
        <v>1</v>
      </c>
      <c r="AC36" s="1509">
        <f t="shared" si="5"/>
        <v>1</v>
      </c>
    </row>
    <row r="37" spans="1:29" s="1201" customFormat="1" ht="15">
      <c r="A37" s="592"/>
      <c r="B37" s="519" t="s">
        <v>722</v>
      </c>
      <c r="C37" s="870"/>
      <c r="D37" s="251">
        <v>100</v>
      </c>
      <c r="E37" s="871"/>
      <c r="F37" s="850" t="e">
        <f>LOOKUP(E37,112:112,113:113)-LOOKUP(C37,112:112,113:113)+100</f>
        <v>#N/A</v>
      </c>
      <c r="G37" s="872"/>
      <c r="H37" s="251" t="e">
        <f>LOOKUP(G37,112:112,113:113)-LOOKUP(C37,112:112,113:113)+100</f>
        <v>#N/A</v>
      </c>
      <c r="I37" s="871"/>
      <c r="J37" s="251" t="e">
        <f>LOOKUP(I37,112:112,113:113)-LOOKUP(C37,112:112,113:113)+100</f>
        <v>#N/A</v>
      </c>
      <c r="K37" s="851"/>
      <c r="L37" s="2015"/>
      <c r="M37" s="2016"/>
      <c r="N37" s="2016"/>
      <c r="O37" s="2017"/>
      <c r="P37" s="3615"/>
      <c r="Q37" s="1132" t="str">
        <f t="shared" si="11"/>
        <v>成新度</v>
      </c>
      <c r="R37" s="1501" t="s">
        <v>11</v>
      </c>
      <c r="S37" s="1502" t="e">
        <f t="shared" si="12"/>
        <v>#N/A</v>
      </c>
      <c r="T37" s="1501" t="s">
        <v>11</v>
      </c>
      <c r="U37" s="1502" t="e">
        <f t="shared" si="13"/>
        <v>#N/A</v>
      </c>
      <c r="V37" s="1501" t="s">
        <v>11</v>
      </c>
      <c r="W37" s="1502" t="e">
        <f t="shared" si="14"/>
        <v>#N/A</v>
      </c>
      <c r="X37" s="1503"/>
      <c r="Y37" s="3615"/>
      <c r="Z37" s="1131" t="str">
        <f t="shared" si="15"/>
        <v>成新度</v>
      </c>
      <c r="AA37" s="1504" t="e">
        <f t="shared" si="3"/>
        <v>#N/A</v>
      </c>
      <c r="AB37" s="1504" t="e">
        <f t="shared" si="4"/>
        <v>#N/A</v>
      </c>
      <c r="AC37" s="1504" t="e">
        <f t="shared" si="5"/>
        <v>#N/A</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2"/>
      <c r="M38" s="2014"/>
      <c r="N38" s="2014"/>
      <c r="O38" s="2021"/>
      <c r="P38" s="3615" t="s">
        <v>542</v>
      </c>
      <c r="Q38" s="1505" t="str">
        <f t="shared" si="11"/>
        <v>物业管理</v>
      </c>
      <c r="R38" s="1506" t="s">
        <v>11</v>
      </c>
      <c r="S38" s="1507">
        <f t="shared" si="12"/>
        <v>100</v>
      </c>
      <c r="T38" s="1506" t="s">
        <v>11</v>
      </c>
      <c r="U38" s="1507">
        <f t="shared" si="13"/>
        <v>100</v>
      </c>
      <c r="V38" s="1506" t="s">
        <v>11</v>
      </c>
      <c r="W38" s="1507">
        <f t="shared" si="14"/>
        <v>100</v>
      </c>
      <c r="X38" s="1500"/>
      <c r="Y38" s="3615" t="s">
        <v>542</v>
      </c>
      <c r="Z38" s="1508" t="str">
        <f t="shared" si="15"/>
        <v>物业管理</v>
      </c>
      <c r="AA38" s="1509">
        <f t="shared" si="3"/>
        <v>1</v>
      </c>
      <c r="AB38" s="1509">
        <f t="shared" si="4"/>
        <v>1</v>
      </c>
      <c r="AC38" s="1509">
        <f t="shared" si="5"/>
        <v>1</v>
      </c>
    </row>
    <row r="39" spans="1:29" ht="15">
      <c r="A39" s="586"/>
      <c r="B39" s="1807"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2"/>
      <c r="M39" s="2014"/>
      <c r="N39" s="2014"/>
      <c r="O39" s="2021"/>
      <c r="P39" s="3615"/>
      <c r="Q39" s="1505" t="str">
        <f t="shared" si="11"/>
        <v>市政基础设施</v>
      </c>
      <c r="R39" s="1506" t="s">
        <v>11</v>
      </c>
      <c r="S39" s="1507">
        <f t="shared" si="12"/>
        <v>100</v>
      </c>
      <c r="T39" s="1506" t="s">
        <v>11</v>
      </c>
      <c r="U39" s="1507">
        <f t="shared" si="13"/>
        <v>100</v>
      </c>
      <c r="V39" s="1506" t="s">
        <v>11</v>
      </c>
      <c r="W39" s="1507">
        <f t="shared" si="14"/>
        <v>100</v>
      </c>
      <c r="X39" s="1500"/>
      <c r="Y39" s="3615"/>
      <c r="Z39" s="1508" t="str">
        <f t="shared" si="15"/>
        <v>市政基础设施</v>
      </c>
      <c r="AA39" s="1509">
        <f t="shared" si="3"/>
        <v>1</v>
      </c>
      <c r="AB39" s="1509">
        <f t="shared" si="4"/>
        <v>1</v>
      </c>
      <c r="AC39" s="1509">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2"/>
      <c r="M40" s="2014"/>
      <c r="N40" s="2014"/>
      <c r="O40" s="2021"/>
      <c r="P40" s="3615"/>
      <c r="Q40" s="1505" t="str">
        <f t="shared" si="11"/>
        <v>房型</v>
      </c>
      <c r="R40" s="1506" t="s">
        <v>11</v>
      </c>
      <c r="S40" s="1507">
        <f t="shared" si="12"/>
        <v>100</v>
      </c>
      <c r="T40" s="1506" t="s">
        <v>11</v>
      </c>
      <c r="U40" s="1507">
        <f t="shared" si="13"/>
        <v>100</v>
      </c>
      <c r="V40" s="1506" t="s">
        <v>11</v>
      </c>
      <c r="W40" s="1507">
        <f t="shared" si="14"/>
        <v>100</v>
      </c>
      <c r="X40" s="1500"/>
      <c r="Y40" s="3615"/>
      <c r="Z40" s="1508" t="str">
        <f t="shared" si="15"/>
        <v>房型</v>
      </c>
      <c r="AA40" s="1509">
        <f t="shared" si="3"/>
        <v>1</v>
      </c>
      <c r="AB40" s="1509">
        <f t="shared" si="4"/>
        <v>1</v>
      </c>
      <c r="AC40" s="1509">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20"/>
      <c r="M41" s="2050"/>
      <c r="N41" s="2050"/>
      <c r="O41" s="2023"/>
      <c r="P41" s="3615"/>
      <c r="Q41" s="1534" t="str">
        <f t="shared" si="11"/>
        <v>单套/主力户型建筑面积</v>
      </c>
      <c r="R41" s="1510" t="s">
        <v>11</v>
      </c>
      <c r="S41" s="1511">
        <f t="shared" si="12"/>
        <v>100</v>
      </c>
      <c r="T41" s="1510" t="s">
        <v>11</v>
      </c>
      <c r="U41" s="1511">
        <f t="shared" si="13"/>
        <v>100</v>
      </c>
      <c r="V41" s="1510" t="s">
        <v>11</v>
      </c>
      <c r="W41" s="1511">
        <f t="shared" si="14"/>
        <v>100</v>
      </c>
      <c r="X41" s="1512"/>
      <c r="Y41" s="3615"/>
      <c r="Z41" s="1513" t="str">
        <f t="shared" si="15"/>
        <v>单套/主力户型建筑面积</v>
      </c>
      <c r="AA41" s="1509">
        <f t="shared" si="3"/>
        <v>1</v>
      </c>
      <c r="AB41" s="1509">
        <f t="shared" si="4"/>
        <v>1</v>
      </c>
      <c r="AC41" s="1509">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2"/>
      <c r="M42" s="2014"/>
      <c r="N42" s="2014"/>
      <c r="O42" s="2021"/>
      <c r="P42" s="3615"/>
      <c r="Q42" s="1505" t="str">
        <f t="shared" si="11"/>
        <v>内部装修</v>
      </c>
      <c r="R42" s="1506" t="s">
        <v>11</v>
      </c>
      <c r="S42" s="1507">
        <f t="shared" si="12"/>
        <v>100</v>
      </c>
      <c r="T42" s="1506" t="s">
        <v>11</v>
      </c>
      <c r="U42" s="1507">
        <f t="shared" si="13"/>
        <v>100</v>
      </c>
      <c r="V42" s="1506" t="s">
        <v>11</v>
      </c>
      <c r="W42" s="1507">
        <f t="shared" si="14"/>
        <v>100</v>
      </c>
      <c r="X42" s="1500"/>
      <c r="Y42" s="3615"/>
      <c r="Z42" s="1508" t="str">
        <f t="shared" si="15"/>
        <v>内部装修</v>
      </c>
      <c r="AA42" s="1509">
        <f t="shared" si="3"/>
        <v>1</v>
      </c>
      <c r="AB42" s="1509">
        <f t="shared" si="4"/>
        <v>1</v>
      </c>
      <c r="AC42" s="1509">
        <f t="shared" si="5"/>
        <v>1</v>
      </c>
    </row>
    <row r="43" spans="1:29" ht="27">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2"/>
      <c r="M43" s="2014"/>
      <c r="N43" s="2014"/>
      <c r="O43" s="2021"/>
      <c r="P43" s="3615"/>
      <c r="Q43" s="1505" t="str">
        <f t="shared" si="11"/>
        <v>内部装修维护情况</v>
      </c>
      <c r="R43" s="1506" t="s">
        <v>11</v>
      </c>
      <c r="S43" s="1507">
        <f t="shared" si="12"/>
        <v>100</v>
      </c>
      <c r="T43" s="1506" t="s">
        <v>11</v>
      </c>
      <c r="U43" s="1507">
        <f t="shared" si="13"/>
        <v>100</v>
      </c>
      <c r="V43" s="1506" t="s">
        <v>11</v>
      </c>
      <c r="W43" s="1507">
        <f t="shared" si="14"/>
        <v>100</v>
      </c>
      <c r="X43" s="1500"/>
      <c r="Y43" s="3615"/>
      <c r="Z43" s="1508" t="str">
        <f t="shared" si="15"/>
        <v>内部装修维护情况</v>
      </c>
      <c r="AA43" s="1509">
        <f t="shared" si="3"/>
        <v>1</v>
      </c>
      <c r="AB43" s="1509">
        <f t="shared" si="4"/>
        <v>1</v>
      </c>
      <c r="AC43" s="1509">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5"/>
      <c r="M44" s="2016"/>
      <c r="N44" s="2016"/>
      <c r="O44" s="2017"/>
      <c r="P44" s="3615"/>
      <c r="Q44" s="1132">
        <f t="shared" si="11"/>
        <v>111</v>
      </c>
      <c r="R44" s="1501" t="s">
        <v>11</v>
      </c>
      <c r="S44" s="1502">
        <f t="shared" si="12"/>
        <v>100</v>
      </c>
      <c r="T44" s="1501" t="s">
        <v>11</v>
      </c>
      <c r="U44" s="1502">
        <f t="shared" si="13"/>
        <v>100</v>
      </c>
      <c r="V44" s="1501" t="s">
        <v>11</v>
      </c>
      <c r="W44" s="1502">
        <f t="shared" si="14"/>
        <v>100</v>
      </c>
      <c r="X44" s="1503"/>
      <c r="Y44" s="3615"/>
      <c r="Z44" s="1131">
        <f t="shared" si="15"/>
        <v>111</v>
      </c>
      <c r="AA44" s="1504">
        <f t="shared" si="3"/>
        <v>1</v>
      </c>
      <c r="AB44" s="1504">
        <f t="shared" si="4"/>
        <v>1</v>
      </c>
      <c r="AC44" s="1504">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2"/>
      <c r="M45" s="2014"/>
      <c r="N45" s="2014"/>
      <c r="O45" s="2021"/>
      <c r="P45" s="3615"/>
      <c r="Q45" s="1505">
        <f t="shared" si="11"/>
        <v>111</v>
      </c>
      <c r="R45" s="1506" t="s">
        <v>11</v>
      </c>
      <c r="S45" s="1507">
        <f t="shared" si="12"/>
        <v>100</v>
      </c>
      <c r="T45" s="1506" t="s">
        <v>11</v>
      </c>
      <c r="U45" s="1507">
        <f t="shared" si="13"/>
        <v>100</v>
      </c>
      <c r="V45" s="1506" t="s">
        <v>11</v>
      </c>
      <c r="W45" s="1507">
        <f t="shared" si="14"/>
        <v>100</v>
      </c>
      <c r="X45" s="1500"/>
      <c r="Y45" s="3615"/>
      <c r="Z45" s="1508">
        <f t="shared" si="15"/>
        <v>111</v>
      </c>
      <c r="AA45" s="1509">
        <f t="shared" si="3"/>
        <v>1</v>
      </c>
      <c r="AB45" s="1509">
        <f t="shared" si="4"/>
        <v>1</v>
      </c>
      <c r="AC45" s="1509">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2"/>
      <c r="M46" s="2014"/>
      <c r="N46" s="2014"/>
      <c r="O46" s="2021"/>
      <c r="P46" s="3695"/>
      <c r="Q46" s="1505">
        <f t="shared" si="11"/>
        <v>111</v>
      </c>
      <c r="R46" s="1506" t="s">
        <v>10</v>
      </c>
      <c r="S46" s="1507">
        <f t="shared" si="12"/>
        <v>100</v>
      </c>
      <c r="T46" s="1506" t="s">
        <v>10</v>
      </c>
      <c r="U46" s="1507">
        <f t="shared" si="13"/>
        <v>100</v>
      </c>
      <c r="V46" s="1506" t="s">
        <v>10</v>
      </c>
      <c r="W46" s="1507">
        <f t="shared" si="14"/>
        <v>100</v>
      </c>
      <c r="X46" s="1500"/>
      <c r="Y46" s="3695"/>
      <c r="Z46" s="1508">
        <f t="shared" si="15"/>
        <v>111</v>
      </c>
      <c r="AA46" s="1509">
        <f t="shared" si="3"/>
        <v>1</v>
      </c>
      <c r="AB46" s="1509">
        <f t="shared" si="4"/>
        <v>1</v>
      </c>
      <c r="AC46" s="1509">
        <f t="shared" si="5"/>
        <v>1</v>
      </c>
    </row>
    <row r="47" spans="1:29" ht="15">
      <c r="A47" s="599" t="s">
        <v>728</v>
      </c>
      <c r="B47" s="874"/>
      <c r="C47" s="2468" t="s">
        <v>9</v>
      </c>
      <c r="D47" s="2469"/>
      <c r="E47" s="2470"/>
      <c r="F47" s="2471"/>
      <c r="G47" s="2472"/>
      <c r="H47" s="2473"/>
      <c r="I47" s="2470"/>
      <c r="J47" s="2473"/>
      <c r="K47" s="1535"/>
      <c r="L47" s="2024"/>
      <c r="M47" s="2025"/>
      <c r="N47" s="2014"/>
      <c r="O47" s="2025"/>
      <c r="P47" s="3578" t="str">
        <f>A47</f>
        <v>成交单价（元/平方米）</v>
      </c>
      <c r="Q47" s="3578"/>
      <c r="R47" s="3694">
        <f>E47</f>
        <v>0</v>
      </c>
      <c r="S47" s="3694"/>
      <c r="T47" s="3694">
        <f>G47</f>
        <v>0</v>
      </c>
      <c r="U47" s="3694"/>
      <c r="V47" s="3694">
        <f>I47</f>
        <v>0</v>
      </c>
      <c r="W47" s="3694"/>
      <c r="X47" s="1495"/>
      <c r="Y47" s="1514"/>
      <c r="Z47" s="1495"/>
      <c r="AA47" s="1495"/>
      <c r="AB47" s="1495"/>
      <c r="AC47" s="1495"/>
    </row>
    <row r="48" spans="1:29" ht="15.75" thickBot="1">
      <c r="A48" s="607" t="s">
        <v>2738</v>
      </c>
      <c r="B48" s="875"/>
      <c r="C48" s="2474" t="e">
        <f>R49</f>
        <v>#DIV/0!</v>
      </c>
      <c r="D48" s="3012" t="s">
        <v>2963</v>
      </c>
      <c r="E48" s="2475" t="e">
        <f>R48</f>
        <v>#DIV/0!</v>
      </c>
      <c r="F48" s="3013"/>
      <c r="G48" s="2474" t="e">
        <f>T48</f>
        <v>#DIV/0!</v>
      </c>
      <c r="H48" s="3013"/>
      <c r="I48" s="2475" t="e">
        <f>V48</f>
        <v>#DIV/0!</v>
      </c>
      <c r="J48" s="3013"/>
      <c r="K48" s="3021">
        <f>F48+H48+J48</f>
        <v>0</v>
      </c>
      <c r="L48" s="2024"/>
      <c r="M48" s="2025"/>
      <c r="N48" s="2025"/>
      <c r="O48" s="2025"/>
      <c r="P48" s="3578" t="str">
        <f>A48</f>
        <v>比较价格（元/平方米）</v>
      </c>
      <c r="Q48" s="3578"/>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1495"/>
      <c r="Y48" s="1495"/>
      <c r="Z48" s="1495"/>
      <c r="AA48" s="1495"/>
      <c r="AB48" s="1495"/>
      <c r="AC48" s="1495"/>
    </row>
    <row r="49" spans="1:29" ht="15.75" thickBot="1">
      <c r="A49" s="611" t="s">
        <v>2898</v>
      </c>
      <c r="B49" s="612"/>
      <c r="C49" s="2476" t="e">
        <f>R49</f>
        <v>#DIV/0!</v>
      </c>
      <c r="D49" s="2476"/>
      <c r="E49" s="2476"/>
      <c r="F49" s="2476"/>
      <c r="G49" s="2476"/>
      <c r="H49" s="2476"/>
      <c r="I49" s="2476"/>
      <c r="J49" s="2476"/>
      <c r="K49" s="1536"/>
      <c r="L49" s="2024"/>
      <c r="M49" s="2025"/>
      <c r="N49" s="2025"/>
      <c r="O49" s="2025"/>
      <c r="P49" s="3575" t="str">
        <f>A49</f>
        <v>估价对象XX用房的比较价格（楼面单价，元/平方米）</v>
      </c>
      <c r="Q49" s="3576"/>
      <c r="R49" s="3693" t="e">
        <f>IF(F1="售价",ROUND(IF(D48="简单平均",AVERAGE(R48:V48),R48*F48+T48*H48+V48*J48),0),ROUND(IF(D48="简单平均",AVERAGE(R48:V48),R48*F48+T48*H48+V48*J48),1))</f>
        <v>#DIV/0!</v>
      </c>
      <c r="S49" s="3693"/>
      <c r="T49" s="3693"/>
      <c r="U49" s="3693"/>
      <c r="V49" s="3693"/>
      <c r="W49" s="3693"/>
      <c r="X49" s="1495"/>
      <c r="Y49" s="1495"/>
      <c r="Z49" s="1495"/>
      <c r="AA49" s="1495"/>
      <c r="AB49" s="1495"/>
      <c r="AC49" s="1495"/>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4" t="s">
        <v>549</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550</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4" t="s">
        <v>551</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5" t="s">
        <v>521</v>
      </c>
      <c r="B58" s="636"/>
      <c r="C58" s="2519" t="str">
        <f>YEAR(C7)&amp;"-"&amp;MONTH(C7)</f>
        <v>2021-8</v>
      </c>
      <c r="D58" s="2519">
        <f>EDATE(C58,-1)</f>
        <v>44378</v>
      </c>
      <c r="E58" s="2519">
        <f t="shared" ref="E58:O58" si="16">EDATE(D58,-1)</f>
        <v>44348</v>
      </c>
      <c r="F58" s="2519">
        <f t="shared" si="16"/>
        <v>44317</v>
      </c>
      <c r="G58" s="2519">
        <f t="shared" si="16"/>
        <v>44287</v>
      </c>
      <c r="H58" s="2519">
        <f t="shared" si="16"/>
        <v>44256</v>
      </c>
      <c r="I58" s="2519">
        <f t="shared" si="16"/>
        <v>44228</v>
      </c>
      <c r="J58" s="2519">
        <f t="shared" si="16"/>
        <v>44197</v>
      </c>
      <c r="K58" s="2519">
        <f t="shared" si="16"/>
        <v>44166</v>
      </c>
      <c r="L58" s="2519">
        <f t="shared" si="16"/>
        <v>44136</v>
      </c>
      <c r="M58" s="2519">
        <f t="shared" si="16"/>
        <v>44105</v>
      </c>
      <c r="N58" s="2519">
        <f t="shared" si="16"/>
        <v>44075</v>
      </c>
      <c r="O58" s="2519">
        <f t="shared" si="16"/>
        <v>44044</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c r="E59" s="640"/>
      <c r="F59" s="640"/>
      <c r="G59" s="640"/>
      <c r="H59" s="640"/>
      <c r="I59" s="640"/>
      <c r="J59" s="640"/>
      <c r="K59" s="640"/>
      <c r="L59" s="640"/>
      <c r="M59" s="640"/>
      <c r="N59" s="640"/>
      <c r="O59" s="640"/>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903"/>
    </row>
    <row r="63" spans="1:29">
      <c r="A63" s="654" t="s">
        <v>569</v>
      </c>
      <c r="B63" s="655" t="s">
        <v>526</v>
      </c>
      <c r="C63" s="694" t="str">
        <f>C9</f>
        <v>住宅</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c r="D64" s="661"/>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530</v>
      </c>
      <c r="C67" s="672" t="str">
        <f>C68&amp;"（含）"&amp;"-"&amp;D68</f>
        <v>（含）-</v>
      </c>
      <c r="D67" s="672" t="str">
        <f t="shared" ref="D67:L67" si="18">D68&amp;"（含）"&amp;"-"&amp;E68</f>
        <v>（含）-</v>
      </c>
      <c r="E67" s="672" t="str">
        <f t="shared" si="18"/>
        <v>（含）-</v>
      </c>
      <c r="F67" s="672" t="str">
        <f t="shared" si="18"/>
        <v>（含）-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c r="D68" s="533"/>
      <c r="E68" s="533"/>
      <c r="F68" s="533"/>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82"/>
      <c r="E73" s="682"/>
      <c r="F73" s="682"/>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1808" t="s">
        <v>2243</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
        <v>738</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道路级别</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682"/>
      <c r="D91" s="682"/>
      <c r="E91" s="682"/>
      <c r="F91" s="682"/>
      <c r="G91" s="682"/>
      <c r="H91" s="683"/>
      <c r="I91" s="683"/>
      <c r="J91" s="683"/>
      <c r="K91" s="683"/>
      <c r="L91" s="683"/>
      <c r="M91" s="684"/>
      <c r="N91" s="2046"/>
      <c r="O91" s="2046"/>
      <c r="P91" s="2047"/>
      <c r="Q91" s="2048"/>
      <c r="R91" s="2049"/>
      <c r="S91" s="2049"/>
      <c r="T91" s="2049"/>
      <c r="U91" s="2049"/>
      <c r="V91" s="2049"/>
      <c r="W91" s="2049"/>
      <c r="X91" s="2049"/>
      <c r="Y91" s="2049"/>
      <c r="Z91" s="2049"/>
      <c r="AA91" s="2049"/>
      <c r="AB91" s="2049"/>
      <c r="AC91" s="2049"/>
    </row>
    <row r="92" spans="1:29" ht="15.75" thickTop="1">
      <c r="A92" s="659"/>
      <c r="B92" s="663">
        <f>B28</f>
        <v>111</v>
      </c>
      <c r="C92" s="678"/>
      <c r="D92" s="678"/>
      <c r="E92" s="678"/>
      <c r="F92" s="678"/>
      <c r="G92" s="708"/>
      <c r="H92" s="708"/>
      <c r="I92" s="708"/>
      <c r="J92" s="708"/>
      <c r="K92" s="709"/>
      <c r="L92" s="710"/>
      <c r="M92" s="711"/>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82"/>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82"/>
      <c r="E95" s="682"/>
      <c r="F95" s="682"/>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90"/>
      <c r="D97" s="690"/>
      <c r="E97" s="690"/>
      <c r="F97" s="690"/>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712"/>
      <c r="D98" s="712"/>
      <c r="E98" s="712"/>
      <c r="F98" s="712"/>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716"/>
      <c r="D99" s="716"/>
      <c r="E99" s="716"/>
      <c r="F99" s="716"/>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543</v>
      </c>
      <c r="B100" s="655" t="s">
        <v>739</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c r="D103" s="720"/>
      <c r="E103" s="720"/>
      <c r="F103" s="720"/>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c r="D104" s="661"/>
      <c r="E104" s="661"/>
      <c r="F104" s="661"/>
      <c r="G104" s="661"/>
      <c r="H104" s="661"/>
      <c r="I104" s="661"/>
      <c r="J104" s="661"/>
      <c r="K104" s="661"/>
      <c r="L104" s="661"/>
      <c r="M104" s="661"/>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678"/>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742</v>
      </c>
      <c r="C107" s="708"/>
      <c r="D107" s="708"/>
      <c r="E107" s="70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743</v>
      </c>
      <c r="C109" s="678"/>
      <c r="D109" s="678"/>
      <c r="E109" s="678"/>
      <c r="F109" s="708"/>
      <c r="G109" s="708"/>
      <c r="H109" s="70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8"/>
      <c r="B112" s="671"/>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745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1808" t="s">
        <v>2535</v>
      </c>
      <c r="C116" s="678"/>
      <c r="D116" s="678"/>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746</v>
      </c>
      <c r="C118" s="708"/>
      <c r="D118" s="708"/>
      <c r="E118" s="708"/>
      <c r="F118" s="708"/>
      <c r="G118" s="708"/>
      <c r="H118" s="708"/>
      <c r="I118" s="708"/>
      <c r="J118" s="708"/>
      <c r="K118" s="709"/>
      <c r="L118" s="710"/>
      <c r="M118" s="71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8"/>
      <c r="B120" s="663" t="s">
        <v>725</v>
      </c>
      <c r="C120" s="678"/>
      <c r="D120" s="678"/>
      <c r="E120" s="678"/>
      <c r="F120" s="678"/>
      <c r="G120" s="678"/>
      <c r="H120" s="678"/>
      <c r="I120" s="678"/>
      <c r="J120" s="678"/>
      <c r="K120" s="678"/>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682"/>
      <c r="D121" s="661"/>
      <c r="E121" s="661"/>
      <c r="F121" s="661"/>
      <c r="G121" s="661"/>
      <c r="H121" s="661"/>
      <c r="I121" s="661"/>
      <c r="J121" s="661"/>
      <c r="K121" s="661"/>
      <c r="L121" s="661"/>
      <c r="M121" s="661"/>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747</v>
      </c>
      <c r="C122" s="678"/>
      <c r="D122" s="678"/>
      <c r="E122" s="678"/>
      <c r="F122" s="708"/>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82"/>
      <c r="E129" s="682"/>
      <c r="F129" s="682"/>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2244</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2245</v>
      </c>
      <c r="C137" s="1831"/>
      <c r="D137" s="1831"/>
      <c r="E137" s="1831"/>
      <c r="F137" s="1831"/>
      <c r="G137" s="1832"/>
      <c r="H137" s="1833"/>
      <c r="I137" s="1834" t="s">
        <v>2246</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2247</v>
      </c>
      <c r="D138" s="1837" t="s">
        <v>2248</v>
      </c>
      <c r="E138" s="1838" t="s">
        <v>2249</v>
      </c>
      <c r="F138" s="1839" t="s">
        <v>2250</v>
      </c>
      <c r="G138" s="1837" t="s">
        <v>2251</v>
      </c>
      <c r="H138" s="1840" t="s">
        <v>2252</v>
      </c>
      <c r="I138" s="1841"/>
      <c r="J138" s="1837" t="s">
        <v>2253</v>
      </c>
      <c r="K138" s="1840" t="s">
        <v>2254</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2255</v>
      </c>
      <c r="E139" s="1811">
        <v>100</v>
      </c>
      <c r="F139" s="1812">
        <v>102.5</v>
      </c>
      <c r="G139" s="1842" t="s">
        <v>2256</v>
      </c>
      <c r="H139" s="1813">
        <v>105</v>
      </c>
      <c r="I139" s="1843" t="s">
        <v>2257</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2258</v>
      </c>
      <c r="J140" s="833">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2259</v>
      </c>
      <c r="J141" s="833">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2260</v>
      </c>
      <c r="J142" s="833">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2261</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2262</v>
      </c>
      <c r="E144" s="1817">
        <v>102</v>
      </c>
      <c r="F144" s="1823">
        <v>100</v>
      </c>
      <c r="G144" s="1846" t="s">
        <v>2262</v>
      </c>
      <c r="H144" s="1819">
        <v>105</v>
      </c>
      <c r="I144" s="1845" t="s">
        <v>2261</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2263</v>
      </c>
      <c r="C145" s="1824">
        <f>ROUND(MAX(C139:C144)/MIN(C139:C144)-1,3)</f>
        <v>7.2999999999999995E-2</v>
      </c>
      <c r="D145" s="1848"/>
      <c r="E145" s="1848"/>
      <c r="F145" s="1849" t="s">
        <v>2264</v>
      </c>
      <c r="G145" s="1850"/>
      <c r="H145" s="1851"/>
      <c r="I145" s="1852" t="s">
        <v>2261</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2272</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2273</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7" priority="19" stopIfTrue="1" operator="containsText" text="超过">
      <formula>NOT(ISERROR(SEARCH("超过",F52)))</formula>
    </cfRule>
  </conditionalFormatting>
  <conditionalFormatting sqref="J54">
    <cfRule type="containsText" dxfId="126" priority="18" stopIfTrue="1" operator="containsText" text="超过">
      <formula>NOT(ISERROR(SEARCH("超过",J54)))</formula>
    </cfRule>
  </conditionalFormatting>
  <conditionalFormatting sqref="H54">
    <cfRule type="containsText" dxfId="125" priority="17" stopIfTrue="1" operator="containsText" text="超过">
      <formula>NOT(ISERROR(SEARCH("超过",H54)))</formula>
    </cfRule>
  </conditionalFormatting>
  <conditionalFormatting sqref="F54">
    <cfRule type="containsText" dxfId="124" priority="16" stopIfTrue="1" operator="containsText" text="超过">
      <formula>NOT(ISERROR(SEARCH("超过",F54)))</formula>
    </cfRule>
  </conditionalFormatting>
  <conditionalFormatting sqref="F53 H53 J53">
    <cfRule type="containsText" dxfId="123" priority="15" stopIfTrue="1" operator="containsText" text="超过">
      <formula>NOT(ISERROR(SEARCH("超过",F53)))</formula>
    </cfRule>
  </conditionalFormatting>
  <conditionalFormatting sqref="E52">
    <cfRule type="expression" dxfId="122" priority="14" stopIfTrue="1">
      <formula>$F$52="超过30%"</formula>
    </cfRule>
  </conditionalFormatting>
  <conditionalFormatting sqref="G54">
    <cfRule type="expression" dxfId="121" priority="12" stopIfTrue="1">
      <formula>$H$54="超过30%"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sheetPr>
    <tabColor rgb="FF92D050"/>
  </sheetPr>
  <dimension ref="A1"/>
  <sheetViews>
    <sheetView workbookViewId="0"/>
  </sheetViews>
  <sheetFormatPr defaultRowHeight="13.5"/>
  <sheetData/>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5500.65平方米。根据《建设工程规划许可证》[]、《出让合同》[]，估价对象规划建筑面积为30803.628平方米。</v>
      </c>
    </row>
    <row r="7" spans="1:4" ht="93.75">
      <c r="A7" s="2588" t="s">
        <v>2726</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本次评估为委托估价方了解标的物之市场价格提供参考依据而评估国有建设用地使用权市场价格。</v>
      </c>
    </row>
    <row r="10" spans="1:4" ht="18.75">
      <c r="A10" s="1710" t="s">
        <v>2012</v>
      </c>
    </row>
    <row r="11" spans="1:4" ht="18.75">
      <c r="A11" s="1693" t="str">
        <f>TEXT(项目基本情况!D3,"yyyy年m月d日;;")&amp;IF(项目基本情况!B3=项目基本情况!D3,"（评估专业人员勘察现场之日）","")</f>
        <v>2021年8月16日</v>
      </c>
    </row>
    <row r="12" spans="1:4" ht="18.75">
      <c r="A12" s="1710" t="s">
        <v>2011</v>
      </c>
    </row>
    <row r="13" spans="1:4" ht="18.75">
      <c r="A13" s="1704" t="s">
        <v>2057</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根据《国有土地使用证》[]，估价对象（分摊）出让国有建设用地使用权面积为5500.65平方米。根据《建设工程规划许可证》[]、《出让合同》[]，估价对象规划建筑面积为30803.628平方米。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2060</v>
      </c>
    </row>
    <row r="23" spans="1:1" ht="18.75">
      <c r="A23" s="2590" t="s">
        <v>2727</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4">
    <tabColor rgb="FF92D050"/>
    <pageSetUpPr fitToPage="1"/>
  </sheetPr>
  <dimension ref="A1:AC794"/>
  <sheetViews>
    <sheetView view="pageBreakPreview" topLeftCell="A3" zoomScale="80" zoomScaleNormal="60" zoomScaleSheetLayoutView="80" workbookViewId="0">
      <selection activeCell="K4" sqref="K4"/>
    </sheetView>
  </sheetViews>
  <sheetFormatPr defaultColWidth="9" defaultRowHeight="14.25"/>
  <cols>
    <col min="1" max="1" width="8.5" style="1289" customWidth="1"/>
    <col min="2" max="2" width="15.75" style="1289" customWidth="1"/>
    <col min="3" max="3" width="14.375" style="1289" customWidth="1"/>
    <col min="4" max="4" width="5.625" style="1289" customWidth="1"/>
    <col min="5" max="5" width="13.625" style="1289" customWidth="1"/>
    <col min="6" max="6" width="5.625" style="1289" customWidth="1"/>
    <col min="7" max="7" width="14" style="1289" customWidth="1"/>
    <col min="8" max="8" width="5.625" style="1289" customWidth="1"/>
    <col min="9" max="9" width="14.25" style="1289" customWidth="1"/>
    <col min="10" max="10" width="5.6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749</v>
      </c>
      <c r="C1" s="496" t="s">
        <v>712</v>
      </c>
      <c r="D1" s="2223"/>
      <c r="E1" s="498"/>
      <c r="F1" s="2522"/>
      <c r="G1" s="1530" t="s">
        <v>713</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511</v>
      </c>
      <c r="B3" s="502">
        <f>C49</f>
        <v>5.3</v>
      </c>
      <c r="C3" s="839" t="s">
        <v>714</v>
      </c>
      <c r="D3" s="838">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27">
      <c r="A4" s="504" t="s">
        <v>513</v>
      </c>
      <c r="B4" s="505"/>
      <c r="C4" s="3584" t="s">
        <v>514</v>
      </c>
      <c r="D4" s="3585"/>
      <c r="E4" s="3618" t="s">
        <v>515</v>
      </c>
      <c r="F4" s="3619"/>
      <c r="G4" s="3584" t="s">
        <v>516</v>
      </c>
      <c r="H4" s="3585"/>
      <c r="I4" s="3584" t="s">
        <v>517</v>
      </c>
      <c r="J4" s="3585"/>
      <c r="K4" s="506" t="s">
        <v>518</v>
      </c>
      <c r="L4" s="2013"/>
      <c r="M4" s="2014"/>
      <c r="N4" s="2014"/>
      <c r="O4" s="2014"/>
      <c r="P4" s="3586" t="s">
        <v>519</v>
      </c>
      <c r="Q4" s="3587"/>
      <c r="R4" s="3592" t="s">
        <v>515</v>
      </c>
      <c r="S4" s="3593"/>
      <c r="T4" s="3592" t="s">
        <v>516</v>
      </c>
      <c r="U4" s="3593"/>
      <c r="V4" s="3579" t="s">
        <v>517</v>
      </c>
      <c r="W4" s="3579"/>
      <c r="X4" s="1500"/>
      <c r="Y4" s="3592" t="s">
        <v>519</v>
      </c>
      <c r="Z4" s="3593"/>
      <c r="AA4" s="3581" t="s">
        <v>515</v>
      </c>
      <c r="AB4" s="3579" t="s">
        <v>516</v>
      </c>
      <c r="AC4" s="3581" t="s">
        <v>517</v>
      </c>
    </row>
    <row r="5" spans="1:29" ht="15">
      <c r="A5" s="507"/>
      <c r="B5" s="508"/>
      <c r="C5" s="3600" t="s">
        <v>2892</v>
      </c>
      <c r="D5" s="3601"/>
      <c r="E5" s="3620" t="str">
        <f>商业案例截图及地图!H1</f>
        <v>玉桥西路101号</v>
      </c>
      <c r="F5" s="3621"/>
      <c r="G5" s="3600" t="str">
        <f>商业案例截图及地图!H16</f>
        <v>格瑞雅居</v>
      </c>
      <c r="H5" s="3601"/>
      <c r="I5" s="3698" t="s">
        <v>3139</v>
      </c>
      <c r="J5" s="3601"/>
      <c r="K5" s="506"/>
      <c r="L5" s="2013"/>
      <c r="M5" s="2014"/>
      <c r="N5" s="2014"/>
      <c r="O5" s="2014"/>
      <c r="P5" s="3588"/>
      <c r="Q5" s="3589"/>
      <c r="R5" s="3594"/>
      <c r="S5" s="3595"/>
      <c r="T5" s="3594"/>
      <c r="U5" s="3595"/>
      <c r="V5" s="3579"/>
      <c r="W5" s="3579"/>
      <c r="X5" s="1500"/>
      <c r="Y5" s="3594"/>
      <c r="Z5" s="3595"/>
      <c r="AA5" s="3582"/>
      <c r="AB5" s="3579"/>
      <c r="AC5" s="3582"/>
    </row>
    <row r="6" spans="1:29" ht="15.75" thickBot="1">
      <c r="A6" s="509"/>
      <c r="B6" s="510"/>
      <c r="C6" s="3598" t="s">
        <v>2896</v>
      </c>
      <c r="D6" s="3599"/>
      <c r="E6" s="3616" t="s">
        <v>2896</v>
      </c>
      <c r="F6" s="3617"/>
      <c r="G6" s="3598" t="s">
        <v>2896</v>
      </c>
      <c r="H6" s="3599"/>
      <c r="I6" s="3598" t="s">
        <v>2896</v>
      </c>
      <c r="J6" s="3599"/>
      <c r="K6" s="506" t="s">
        <v>520</v>
      </c>
      <c r="L6" s="2013"/>
      <c r="M6" s="2014"/>
      <c r="N6" s="2014"/>
      <c r="O6" s="2014"/>
      <c r="P6" s="3590"/>
      <c r="Q6" s="3591"/>
      <c r="R6" s="3594"/>
      <c r="S6" s="3595"/>
      <c r="T6" s="3596"/>
      <c r="U6" s="3597"/>
      <c r="V6" s="3579"/>
      <c r="W6" s="3579"/>
      <c r="X6" s="1500"/>
      <c r="Y6" s="3596"/>
      <c r="Z6" s="3597"/>
      <c r="AA6" s="3583"/>
      <c r="AB6" s="3579"/>
      <c r="AC6" s="3583"/>
    </row>
    <row r="7" spans="1:29" s="1201" customFormat="1" ht="15.75" thickBot="1">
      <c r="A7" s="2627"/>
      <c r="B7" s="2634" t="s">
        <v>521</v>
      </c>
      <c r="C7" s="511">
        <f>'数据-取费表'!B2</f>
        <v>44424</v>
      </c>
      <c r="D7" s="512">
        <v>100</v>
      </c>
      <c r="E7" s="513">
        <v>44256</v>
      </c>
      <c r="F7" s="514">
        <f>SUMIF(58:58,YEAR(E7)&amp;"-"&amp;MONTH(E7),59:59)</f>
        <v>100</v>
      </c>
      <c r="G7" s="513">
        <v>44287</v>
      </c>
      <c r="H7" s="512">
        <f>SUMIF(58:58,YEAR(G7)&amp;"-"&amp;MONTH(G7),59:59)</f>
        <v>100</v>
      </c>
      <c r="I7" s="513">
        <v>44287</v>
      </c>
      <c r="J7" s="512">
        <f>SUMIF(58:58,YEAR(I7)&amp;"-"&amp;MONTH(I7),59:59)</f>
        <v>100</v>
      </c>
      <c r="K7" s="516"/>
      <c r="L7" s="2015"/>
      <c r="M7" s="2016"/>
      <c r="N7" s="2016"/>
      <c r="O7" s="2016"/>
      <c r="P7" s="3609" t="s">
        <v>522</v>
      </c>
      <c r="Q7" s="3611"/>
      <c r="R7" s="1501" t="s">
        <v>8</v>
      </c>
      <c r="S7" s="1502">
        <f t="shared" ref="S7:S15" si="0">F7</f>
        <v>100</v>
      </c>
      <c r="T7" s="1501" t="s">
        <v>8</v>
      </c>
      <c r="U7" s="1502">
        <f t="shared" ref="U7:U15" si="1">H7</f>
        <v>100</v>
      </c>
      <c r="V7" s="1501" t="s">
        <v>8</v>
      </c>
      <c r="W7" s="1502">
        <f t="shared" ref="W7:W15" si="2">J7</f>
        <v>100</v>
      </c>
      <c r="X7" s="1503"/>
      <c r="Y7" s="3609" t="s">
        <v>522</v>
      </c>
      <c r="Z7" s="3610"/>
      <c r="AA7" s="1504">
        <f>D7/F7</f>
        <v>1</v>
      </c>
      <c r="AB7" s="1504">
        <f>D7/H7</f>
        <v>1</v>
      </c>
      <c r="AC7" s="1504">
        <f>D7/J7</f>
        <v>1</v>
      </c>
    </row>
    <row r="8" spans="1:29" s="1201" customFormat="1" ht="15.75" thickBot="1">
      <c r="A8" s="2628"/>
      <c r="B8" s="2635" t="s">
        <v>523</v>
      </c>
      <c r="C8" s="517" t="s">
        <v>568</v>
      </c>
      <c r="D8" s="512">
        <v>100</v>
      </c>
      <c r="E8" s="517" t="s">
        <v>3070</v>
      </c>
      <c r="F8" s="514">
        <f>SUMIF(61:61,E8,62:62)-SUMIF(61:61,C8,62:62)+100</f>
        <v>100</v>
      </c>
      <c r="G8" s="517" t="s">
        <v>3070</v>
      </c>
      <c r="H8" s="512">
        <f>SUMIF(61:61,G8,62:62)-SUMIF(61:61,C8,62:62)+100</f>
        <v>100</v>
      </c>
      <c r="I8" s="517" t="s">
        <v>3070</v>
      </c>
      <c r="J8" s="512">
        <f>SUMIF(61:61,I8,62:62)-SUMIF(61:61,C8,62:62)+100</f>
        <v>100</v>
      </c>
      <c r="K8" s="516"/>
      <c r="L8" s="2015"/>
      <c r="M8" s="2016"/>
      <c r="N8" s="2016"/>
      <c r="O8" s="2016"/>
      <c r="P8" s="3609" t="s">
        <v>525</v>
      </c>
      <c r="Q8" s="3610"/>
      <c r="R8" s="1501" t="s">
        <v>8</v>
      </c>
      <c r="S8" s="1502">
        <f t="shared" si="0"/>
        <v>100</v>
      </c>
      <c r="T8" s="1501" t="s">
        <v>8</v>
      </c>
      <c r="U8" s="1502">
        <f t="shared" si="1"/>
        <v>100</v>
      </c>
      <c r="V8" s="1501" t="s">
        <v>8</v>
      </c>
      <c r="W8" s="1502">
        <f t="shared" si="2"/>
        <v>100</v>
      </c>
      <c r="X8" s="1503"/>
      <c r="Y8" s="3609" t="s">
        <v>525</v>
      </c>
      <c r="Z8" s="3610"/>
      <c r="AA8" s="1504">
        <f t="shared" ref="AA8:AA46" si="3">D8/F8</f>
        <v>1</v>
      </c>
      <c r="AB8" s="1504">
        <f t="shared" ref="AB8:AB46" si="4">D8/H8</f>
        <v>1</v>
      </c>
      <c r="AC8" s="1504">
        <f t="shared" ref="AC8:AC46" si="5">D8/J8</f>
        <v>1</v>
      </c>
    </row>
    <row r="9" spans="1:29" s="1201" customFormat="1" ht="15">
      <c r="A9" s="2629"/>
      <c r="B9" s="2636" t="s">
        <v>2734</v>
      </c>
      <c r="C9" s="3334" t="s">
        <v>3091</v>
      </c>
      <c r="D9" s="250">
        <v>100</v>
      </c>
      <c r="E9" s="847" t="s">
        <v>3028</v>
      </c>
      <c r="F9" s="250">
        <f>SUMIF(63:63,E9,64:64)-SUMIF(63:63,C9,64:64)+100</f>
        <v>100</v>
      </c>
      <c r="G9" s="845" t="s">
        <v>3028</v>
      </c>
      <c r="H9" s="250">
        <f>SUMIF(63:63,G9,64:64)-SUMIF(63:63,C9,64:64)+100</f>
        <v>100</v>
      </c>
      <c r="I9" s="845" t="s">
        <v>3028</v>
      </c>
      <c r="J9" s="250">
        <f>SUMIF(63:63,I9,64:64)-SUMIF(63:63,C9,64:64)+100</f>
        <v>100</v>
      </c>
      <c r="K9" s="516"/>
      <c r="L9" s="2015"/>
      <c r="M9" s="2016"/>
      <c r="N9" s="2016"/>
      <c r="O9" s="2017"/>
      <c r="P9" s="3578" t="s">
        <v>527</v>
      </c>
      <c r="Q9" s="1132" t="str">
        <f t="shared" ref="Q9:Q15" si="6">B9</f>
        <v>用途</v>
      </c>
      <c r="R9" s="1501" t="s">
        <v>8</v>
      </c>
      <c r="S9" s="1502">
        <f t="shared" si="0"/>
        <v>100</v>
      </c>
      <c r="T9" s="1501" t="s">
        <v>8</v>
      </c>
      <c r="U9" s="1502">
        <f t="shared" si="1"/>
        <v>100</v>
      </c>
      <c r="V9" s="1501" t="s">
        <v>8</v>
      </c>
      <c r="W9" s="1502">
        <f t="shared" si="2"/>
        <v>100</v>
      </c>
      <c r="X9" s="1503"/>
      <c r="Y9" s="3524" t="s">
        <v>528</v>
      </c>
      <c r="Z9" s="1131" t="str">
        <f t="shared" ref="Z9:Z15" si="7">Q9</f>
        <v>用途</v>
      </c>
      <c r="AA9" s="1504">
        <f t="shared" si="3"/>
        <v>1</v>
      </c>
      <c r="AB9" s="1504">
        <f t="shared" si="4"/>
        <v>1</v>
      </c>
      <c r="AC9" s="1504">
        <f t="shared" si="5"/>
        <v>1</v>
      </c>
    </row>
    <row r="10" spans="1:29" s="1290" customFormat="1" ht="27">
      <c r="A10" s="2630"/>
      <c r="B10" s="2635" t="s">
        <v>2735</v>
      </c>
      <c r="C10" s="848" t="s">
        <v>3130</v>
      </c>
      <c r="D10" s="251">
        <v>100</v>
      </c>
      <c r="E10" s="848" t="s">
        <v>3131</v>
      </c>
      <c r="F10" s="251">
        <f>SUMIF(65:65,E10,66:66)-SUMIF(65:65,C10,66:66)+100</f>
        <v>98</v>
      </c>
      <c r="G10" s="849" t="s">
        <v>3131</v>
      </c>
      <c r="H10" s="251">
        <f>SUMIF(65:65,G10,66:66)-SUMIF(65:65,C10,66:66)+100</f>
        <v>98</v>
      </c>
      <c r="I10" s="848" t="s">
        <v>3130</v>
      </c>
      <c r="J10" s="251">
        <f>SUMIF(65:65,I10,66:66)-SUMIF(65:65,C10,66:66)+100</f>
        <v>100</v>
      </c>
      <c r="K10" s="576">
        <v>2</v>
      </c>
      <c r="L10" s="2018"/>
      <c r="M10" s="2057"/>
      <c r="N10" s="2057"/>
      <c r="O10" s="2019"/>
      <c r="P10" s="3578"/>
      <c r="Q10" s="1132" t="str">
        <f t="shared" si="6"/>
        <v>土地使用年限（年）</v>
      </c>
      <c r="R10" s="1501" t="s">
        <v>8</v>
      </c>
      <c r="S10" s="1502">
        <f t="shared" si="0"/>
        <v>98</v>
      </c>
      <c r="T10" s="1501" t="s">
        <v>8</v>
      </c>
      <c r="U10" s="1502">
        <f t="shared" si="1"/>
        <v>98</v>
      </c>
      <c r="V10" s="1501" t="s">
        <v>8</v>
      </c>
      <c r="W10" s="1502">
        <f t="shared" si="2"/>
        <v>100</v>
      </c>
      <c r="X10" s="1503"/>
      <c r="Y10" s="3524"/>
      <c r="Z10" s="1131" t="str">
        <f t="shared" si="7"/>
        <v>土地使用年限（年）</v>
      </c>
      <c r="AA10" s="1504">
        <f t="shared" si="3"/>
        <v>1.0204081632653061</v>
      </c>
      <c r="AB10" s="1504">
        <f t="shared" si="4"/>
        <v>1.0204081632653061</v>
      </c>
      <c r="AC10" s="1504">
        <f t="shared" si="5"/>
        <v>1</v>
      </c>
    </row>
    <row r="11" spans="1:29" ht="15">
      <c r="A11" s="2631"/>
      <c r="B11" s="2635" t="s">
        <v>2736</v>
      </c>
      <c r="C11" s="525">
        <v>1</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20"/>
      <c r="M11" s="2014"/>
      <c r="N11" s="2014"/>
      <c r="O11" s="2021"/>
      <c r="P11" s="3578"/>
      <c r="Q11" s="1132" t="str">
        <f t="shared" si="6"/>
        <v>容积率</v>
      </c>
      <c r="R11" s="1501" t="s">
        <v>8</v>
      </c>
      <c r="S11" s="1502">
        <f t="shared" si="0"/>
        <v>100</v>
      </c>
      <c r="T11" s="1501" t="s">
        <v>8</v>
      </c>
      <c r="U11" s="1502">
        <f t="shared" si="1"/>
        <v>100</v>
      </c>
      <c r="V11" s="1501" t="s">
        <v>8</v>
      </c>
      <c r="W11" s="1502">
        <f t="shared" si="2"/>
        <v>100</v>
      </c>
      <c r="X11" s="1503"/>
      <c r="Y11" s="3524"/>
      <c r="Z11" s="1131" t="str">
        <f t="shared" si="7"/>
        <v>容积率</v>
      </c>
      <c r="AA11" s="1504">
        <f t="shared" si="3"/>
        <v>1</v>
      </c>
      <c r="AB11" s="1504">
        <f t="shared" si="4"/>
        <v>1</v>
      </c>
      <c r="AC11" s="1504">
        <f t="shared" si="5"/>
        <v>1</v>
      </c>
    </row>
    <row r="12" spans="1:29" s="1201" customFormat="1" ht="15">
      <c r="A12" s="2632"/>
      <c r="B12" s="2638">
        <v>111</v>
      </c>
      <c r="C12" s="520"/>
      <c r="D12" s="530">
        <v>100</v>
      </c>
      <c r="E12" s="531"/>
      <c r="F12" s="251">
        <f>SUMIF(70:70,E12,71:71)-SUMIF(70:70,C12,71:71)+100</f>
        <v>100</v>
      </c>
      <c r="G12" s="899"/>
      <c r="H12" s="251">
        <f>SUMIF(70:70,G12,71:71)-SUMIF(70:70,C12,71:71)+100</f>
        <v>100</v>
      </c>
      <c r="I12" s="531"/>
      <c r="J12" s="251">
        <f>SUMIF(70:70,I12,71:71)-SUMIF(70:70,C12,71:71)+100</f>
        <v>100</v>
      </c>
      <c r="K12" s="573"/>
      <c r="L12" s="2015"/>
      <c r="M12" s="2016"/>
      <c r="N12" s="2016"/>
      <c r="O12" s="2017"/>
      <c r="P12" s="3578"/>
      <c r="Q12" s="1132">
        <f t="shared" si="6"/>
        <v>111</v>
      </c>
      <c r="R12" s="1501" t="s">
        <v>8</v>
      </c>
      <c r="S12" s="1502">
        <f t="shared" si="0"/>
        <v>100</v>
      </c>
      <c r="T12" s="1501" t="s">
        <v>8</v>
      </c>
      <c r="U12" s="1502">
        <f t="shared" si="1"/>
        <v>100</v>
      </c>
      <c r="V12" s="1501" t="s">
        <v>8</v>
      </c>
      <c r="W12" s="1502">
        <f t="shared" si="2"/>
        <v>100</v>
      </c>
      <c r="X12" s="1503"/>
      <c r="Y12" s="3524"/>
      <c r="Z12" s="1131">
        <f t="shared" si="7"/>
        <v>111</v>
      </c>
      <c r="AA12" s="1504">
        <f>D12/F12</f>
        <v>1</v>
      </c>
      <c r="AB12" s="1504">
        <f>D12/H12</f>
        <v>1</v>
      </c>
      <c r="AC12" s="1504">
        <f>D12/J12</f>
        <v>1</v>
      </c>
    </row>
    <row r="13" spans="1:29" ht="15">
      <c r="A13" s="2632"/>
      <c r="B13" s="2638">
        <v>111</v>
      </c>
      <c r="C13" s="531"/>
      <c r="D13" s="532">
        <v>100</v>
      </c>
      <c r="E13" s="531"/>
      <c r="F13" s="251">
        <f>SUMIF(72:72,E13,73:73)-SUMIF(72:72,C13,73:73)+100</f>
        <v>100</v>
      </c>
      <c r="G13" s="899"/>
      <c r="H13" s="532">
        <f>SUMIF(72:72,G13,73:73)-SUMIF(72:72,C13,73:73)+100</f>
        <v>100</v>
      </c>
      <c r="I13" s="531"/>
      <c r="J13" s="532">
        <f>SUMIF(72:72,I13,73:73)-SUMIF(72:72,C13,73:73)+100</f>
        <v>100</v>
      </c>
      <c r="K13" s="573"/>
      <c r="L13" s="2022"/>
      <c r="M13" s="2014"/>
      <c r="N13" s="2014"/>
      <c r="O13" s="2021"/>
      <c r="P13" s="3578"/>
      <c r="Q13" s="1132">
        <f t="shared" si="6"/>
        <v>111</v>
      </c>
      <c r="R13" s="1501" t="s">
        <v>8</v>
      </c>
      <c r="S13" s="1502">
        <f t="shared" si="0"/>
        <v>100</v>
      </c>
      <c r="T13" s="1501" t="s">
        <v>8</v>
      </c>
      <c r="U13" s="1502">
        <f t="shared" si="1"/>
        <v>100</v>
      </c>
      <c r="V13" s="1501" t="s">
        <v>8</v>
      </c>
      <c r="W13" s="1502">
        <f t="shared" si="2"/>
        <v>100</v>
      </c>
      <c r="X13" s="1503"/>
      <c r="Y13" s="3524"/>
      <c r="Z13" s="1131">
        <f t="shared" si="7"/>
        <v>111</v>
      </c>
      <c r="AA13" s="1504">
        <f t="shared" si="3"/>
        <v>1</v>
      </c>
      <c r="AB13" s="1504">
        <f t="shared" si="4"/>
        <v>1</v>
      </c>
      <c r="AC13" s="1504">
        <f t="shared" si="5"/>
        <v>1</v>
      </c>
    </row>
    <row r="14" spans="1:29" ht="15.75" thickBot="1">
      <c r="A14" s="2633"/>
      <c r="B14" s="2639">
        <v>111</v>
      </c>
      <c r="C14" s="537"/>
      <c r="D14" s="538">
        <v>100</v>
      </c>
      <c r="E14" s="537"/>
      <c r="F14" s="538">
        <f>SUMIF(74:74,E14,75:75)-SUMIF(74:74,C14,75:75)+100</f>
        <v>100</v>
      </c>
      <c r="G14" s="899"/>
      <c r="H14" s="538">
        <f>SUMIF(74:74,G14,75:75)-SUMIF(74:74,C14,75:75)+100</f>
        <v>100</v>
      </c>
      <c r="I14" s="531"/>
      <c r="J14" s="538">
        <f>SUMIF(74:74,I14,75:75)-SUMIF(74:74,C14,75:75)+100</f>
        <v>100</v>
      </c>
      <c r="K14" s="573"/>
      <c r="L14" s="2022"/>
      <c r="M14" s="2014"/>
      <c r="N14" s="2014"/>
      <c r="O14" s="2021"/>
      <c r="P14" s="3578"/>
      <c r="Q14" s="1132">
        <f t="shared" si="6"/>
        <v>111</v>
      </c>
      <c r="R14" s="1501" t="s">
        <v>8</v>
      </c>
      <c r="S14" s="1502">
        <f t="shared" si="0"/>
        <v>100</v>
      </c>
      <c r="T14" s="1501" t="s">
        <v>8</v>
      </c>
      <c r="U14" s="1502">
        <f t="shared" si="1"/>
        <v>100</v>
      </c>
      <c r="V14" s="1501" t="s">
        <v>8</v>
      </c>
      <c r="W14" s="1502">
        <f t="shared" si="2"/>
        <v>100</v>
      </c>
      <c r="X14" s="1503"/>
      <c r="Y14" s="3524"/>
      <c r="Z14" s="1131">
        <f t="shared" si="7"/>
        <v>111</v>
      </c>
      <c r="AA14" s="1504">
        <f t="shared" si="3"/>
        <v>1</v>
      </c>
      <c r="AB14" s="1504">
        <f t="shared" si="4"/>
        <v>1</v>
      </c>
      <c r="AC14" s="1504">
        <f t="shared" si="5"/>
        <v>1</v>
      </c>
    </row>
    <row r="15" spans="1:29" ht="57.6" customHeight="1">
      <c r="A15" s="2625" t="s">
        <v>2732</v>
      </c>
      <c r="B15" s="163" t="s">
        <v>533</v>
      </c>
      <c r="C15" s="854" t="str">
        <f>估价对象房地状况!C4</f>
        <v>周边有万达广场（通州店）、华联商厦（新华大街店）、京客隆超市（东关店）、华联超市（新华大街店）等商业服务设施，分布较为集中，综合考虑商业繁华度较好</v>
      </c>
      <c r="D15" s="541">
        <v>100</v>
      </c>
      <c r="E15" s="542"/>
      <c r="F15" s="543">
        <f>SUMIF(76:76,E16,77:77)-SUMIF(76:76,C16,77:77)+100</f>
        <v>102</v>
      </c>
      <c r="G15" s="544"/>
      <c r="H15" s="541">
        <f>SUMIF(76:76,G16,77:77)-SUMIF(76:76,C16,77:77)+100</f>
        <v>102</v>
      </c>
      <c r="I15" s="542"/>
      <c r="J15" s="541">
        <f>SUMIF(76:76,I16,77:77)-SUMIF(76:76,C16,77:77)+100</f>
        <v>102</v>
      </c>
      <c r="K15" s="885">
        <v>2</v>
      </c>
      <c r="L15" s="2022"/>
      <c r="M15" s="2014"/>
      <c r="N15" s="2014"/>
      <c r="O15" s="2021"/>
      <c r="P15" s="3612" t="s">
        <v>532</v>
      </c>
      <c r="Q15" s="1505" t="str">
        <f t="shared" si="6"/>
        <v>商业繁华度</v>
      </c>
      <c r="R15" s="1506" t="s">
        <v>8</v>
      </c>
      <c r="S15" s="1507">
        <f t="shared" si="0"/>
        <v>102</v>
      </c>
      <c r="T15" s="1506" t="s">
        <v>8</v>
      </c>
      <c r="U15" s="1507">
        <f t="shared" si="1"/>
        <v>102</v>
      </c>
      <c r="V15" s="1506" t="s">
        <v>8</v>
      </c>
      <c r="W15" s="1507">
        <f t="shared" si="2"/>
        <v>102</v>
      </c>
      <c r="X15" s="1500"/>
      <c r="Y15" s="3612" t="s">
        <v>532</v>
      </c>
      <c r="Z15" s="1508" t="str">
        <f t="shared" si="7"/>
        <v>商业繁华度</v>
      </c>
      <c r="AA15" s="1509">
        <f t="shared" si="3"/>
        <v>0.98039215686274506</v>
      </c>
      <c r="AB15" s="1509">
        <f t="shared" si="4"/>
        <v>0.98039215686274506</v>
      </c>
      <c r="AC15" s="1509">
        <f t="shared" si="5"/>
        <v>0.98039215686274506</v>
      </c>
    </row>
    <row r="16" spans="1:29" ht="15">
      <c r="A16" s="524"/>
      <c r="B16" s="856"/>
      <c r="C16" s="568" t="s">
        <v>3074</v>
      </c>
      <c r="D16" s="547"/>
      <c r="E16" s="568" t="s">
        <v>3075</v>
      </c>
      <c r="F16" s="549"/>
      <c r="G16" s="568" t="s">
        <v>3075</v>
      </c>
      <c r="H16" s="551"/>
      <c r="I16" s="568" t="s">
        <v>3075</v>
      </c>
      <c r="J16" s="547"/>
      <c r="K16" s="886"/>
      <c r="L16" s="2022"/>
      <c r="M16" s="2014"/>
      <c r="N16" s="2014"/>
      <c r="O16" s="2021"/>
      <c r="P16" s="3613"/>
      <c r="Q16" s="1505"/>
      <c r="R16" s="1506"/>
      <c r="S16" s="1507"/>
      <c r="T16" s="1506"/>
      <c r="U16" s="1507"/>
      <c r="V16" s="1506"/>
      <c r="W16" s="1507"/>
      <c r="X16" s="1500"/>
      <c r="Y16" s="3613"/>
      <c r="Z16" s="1508"/>
      <c r="AA16" s="1509">
        <v>1</v>
      </c>
      <c r="AB16" s="1509">
        <v>1</v>
      </c>
      <c r="AC16" s="1509">
        <v>1</v>
      </c>
    </row>
    <row r="17" spans="1:29" ht="30" customHeight="1">
      <c r="A17" s="524"/>
      <c r="B17" s="858" t="s">
        <v>294</v>
      </c>
      <c r="C17" s="3388" t="str">
        <f>估价对象房地状况!C6</f>
        <v>周边有通322路、342路、589路、667路、804路、808路、通19路、通41路、通62路等多条公交线路通过，距地铁6号线（北运河西站）约1公里，综合评价交通便捷度较好</v>
      </c>
      <c r="D17" s="3383">
        <v>100</v>
      </c>
      <c r="E17" s="3385"/>
      <c r="F17" s="3389">
        <f>SUMIF(78:78,E18,79:79)-SUMIF(78:78,C18,79:79)+100</f>
        <v>100</v>
      </c>
      <c r="G17" s="3384"/>
      <c r="H17" s="3386">
        <f>SUMIF(78:78,G18,79:79)-SUMIF(78:78,C18,79:79)+100</f>
        <v>100</v>
      </c>
      <c r="I17" s="3385"/>
      <c r="J17" s="3386">
        <f>SUMIF(78:78,I18,79:79)-SUMIF(78:78,C18,79:79)+100</f>
        <v>100</v>
      </c>
      <c r="K17" s="3387">
        <v>2</v>
      </c>
      <c r="L17" s="2022"/>
      <c r="M17" s="2014"/>
      <c r="N17" s="2014"/>
      <c r="O17" s="2021"/>
      <c r="P17" s="3613"/>
      <c r="Q17" s="1505" t="str">
        <f>B17</f>
        <v>交通便捷度</v>
      </c>
      <c r="R17" s="1506" t="s">
        <v>8</v>
      </c>
      <c r="S17" s="1507">
        <f>F17</f>
        <v>100</v>
      </c>
      <c r="T17" s="1506" t="s">
        <v>8</v>
      </c>
      <c r="U17" s="1507">
        <f>H17</f>
        <v>100</v>
      </c>
      <c r="V17" s="1506" t="s">
        <v>8</v>
      </c>
      <c r="W17" s="1507">
        <f>J17</f>
        <v>100</v>
      </c>
      <c r="X17" s="1500"/>
      <c r="Y17" s="3613"/>
      <c r="Z17" s="1508" t="str">
        <f>Q17</f>
        <v>交通便捷度</v>
      </c>
      <c r="AA17" s="1509">
        <f t="shared" si="3"/>
        <v>1</v>
      </c>
      <c r="AB17" s="1509">
        <f t="shared" si="4"/>
        <v>1</v>
      </c>
      <c r="AC17" s="1509">
        <f t="shared" si="5"/>
        <v>1</v>
      </c>
    </row>
    <row r="18" spans="1:29" ht="15">
      <c r="A18" s="524"/>
      <c r="B18" s="587"/>
      <c r="C18" s="860" t="s">
        <v>3075</v>
      </c>
      <c r="D18" s="551"/>
      <c r="E18" s="560" t="s">
        <v>3075</v>
      </c>
      <c r="F18" s="555"/>
      <c r="G18" s="561" t="s">
        <v>3075</v>
      </c>
      <c r="H18" s="547"/>
      <c r="I18" s="560" t="s">
        <v>3075</v>
      </c>
      <c r="J18" s="547"/>
      <c r="K18" s="886"/>
      <c r="L18" s="2022"/>
      <c r="M18" s="2014"/>
      <c r="N18" s="2014"/>
      <c r="O18" s="2021"/>
      <c r="P18" s="3613"/>
      <c r="Q18" s="1505"/>
      <c r="R18" s="1506"/>
      <c r="S18" s="1507"/>
      <c r="T18" s="1506"/>
      <c r="U18" s="1507"/>
      <c r="V18" s="1506"/>
      <c r="W18" s="1507"/>
      <c r="X18" s="1500"/>
      <c r="Y18" s="3613"/>
      <c r="Z18" s="1508"/>
      <c r="AA18" s="1509">
        <v>1</v>
      </c>
      <c r="AB18" s="1509">
        <v>1</v>
      </c>
      <c r="AC18" s="1509">
        <v>1</v>
      </c>
    </row>
    <row r="19" spans="1:29" ht="96" customHeight="1">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102</v>
      </c>
      <c r="G19" s="564"/>
      <c r="H19" s="551">
        <f>SUMIF(80:80,G20,81:81)-SUMIF(80:80,C20,81:81)+100</f>
        <v>102</v>
      </c>
      <c r="I19" s="562"/>
      <c r="J19" s="551">
        <f>SUMIF(80:80,I20,81:81)-SUMIF(80:80,C20,81:81)+100</f>
        <v>102</v>
      </c>
      <c r="K19" s="885">
        <v>2</v>
      </c>
      <c r="L19" s="2022"/>
      <c r="M19" s="2014"/>
      <c r="N19" s="2014"/>
      <c r="O19" s="2021"/>
      <c r="P19" s="3613"/>
      <c r="Q19" s="1505" t="str">
        <f>B19</f>
        <v>公共配套设施</v>
      </c>
      <c r="R19" s="1506" t="s">
        <v>8</v>
      </c>
      <c r="S19" s="1507">
        <f>F19</f>
        <v>102</v>
      </c>
      <c r="T19" s="1506" t="s">
        <v>8</v>
      </c>
      <c r="U19" s="1507">
        <f>H19</f>
        <v>102</v>
      </c>
      <c r="V19" s="1506" t="s">
        <v>8</v>
      </c>
      <c r="W19" s="1507">
        <f>J19</f>
        <v>102</v>
      </c>
      <c r="X19" s="1500"/>
      <c r="Y19" s="3613"/>
      <c r="Z19" s="1508" t="str">
        <f>Q19</f>
        <v>公共配套设施</v>
      </c>
      <c r="AA19" s="1509">
        <f t="shared" si="3"/>
        <v>0.98039215686274506</v>
      </c>
      <c r="AB19" s="1509">
        <f t="shared" si="4"/>
        <v>0.98039215686274506</v>
      </c>
      <c r="AC19" s="1509">
        <f t="shared" si="5"/>
        <v>0.98039215686274506</v>
      </c>
    </row>
    <row r="20" spans="1:29" ht="15">
      <c r="A20" s="524"/>
      <c r="B20" s="587"/>
      <c r="C20" s="568" t="s">
        <v>3074</v>
      </c>
      <c r="D20" s="547"/>
      <c r="E20" s="548" t="s">
        <v>3075</v>
      </c>
      <c r="F20" s="549"/>
      <c r="G20" s="550" t="s">
        <v>3075</v>
      </c>
      <c r="H20" s="547"/>
      <c r="I20" s="548" t="s">
        <v>3075</v>
      </c>
      <c r="J20" s="547"/>
      <c r="K20" s="886"/>
      <c r="L20" s="2022"/>
      <c r="M20" s="2014"/>
      <c r="N20" s="2014"/>
      <c r="O20" s="2021"/>
      <c r="P20" s="3613"/>
      <c r="Q20" s="1505"/>
      <c r="R20" s="1506"/>
      <c r="S20" s="1507"/>
      <c r="T20" s="1506"/>
      <c r="U20" s="1507"/>
      <c r="V20" s="1506"/>
      <c r="W20" s="1507"/>
      <c r="X20" s="1500"/>
      <c r="Y20" s="3613"/>
      <c r="Z20" s="1508"/>
      <c r="AA20" s="1509">
        <v>1</v>
      </c>
      <c r="AB20" s="1509">
        <v>1</v>
      </c>
      <c r="AC20" s="1509">
        <v>1</v>
      </c>
    </row>
    <row r="21" spans="1:29" ht="56.45" customHeight="1">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85">
        <v>2</v>
      </c>
      <c r="L21" s="2022"/>
      <c r="M21" s="2014"/>
      <c r="N21" s="2014"/>
      <c r="O21" s="2021"/>
      <c r="P21" s="3613"/>
      <c r="Q21" s="2427" t="str">
        <f>B21</f>
        <v>基础设施水平</v>
      </c>
      <c r="R21" s="1506" t="s">
        <v>8</v>
      </c>
      <c r="S21" s="1507">
        <f>F21</f>
        <v>100</v>
      </c>
      <c r="T21" s="1506" t="s">
        <v>8</v>
      </c>
      <c r="U21" s="1507">
        <f>H21</f>
        <v>100</v>
      </c>
      <c r="V21" s="1506" t="s">
        <v>8</v>
      </c>
      <c r="W21" s="1507">
        <f>J21</f>
        <v>100</v>
      </c>
      <c r="X21" s="2429"/>
      <c r="Y21" s="3613"/>
      <c r="Z21" s="2428" t="str">
        <f>Q21</f>
        <v>基础设施水平</v>
      </c>
      <c r="AA21" s="1509">
        <f t="shared" ref="AA21" si="8">D21/F21</f>
        <v>1</v>
      </c>
      <c r="AB21" s="1509">
        <f t="shared" ref="AB21" si="9">D21/H21</f>
        <v>1</v>
      </c>
      <c r="AC21" s="1509">
        <f t="shared" ref="AC21" si="10">D21/J21</f>
        <v>1</v>
      </c>
    </row>
    <row r="22" spans="1:29" ht="15">
      <c r="A22" s="524"/>
      <c r="B22" s="909"/>
      <c r="C22" s="860" t="s">
        <v>3174</v>
      </c>
      <c r="D22" s="547"/>
      <c r="E22" s="568" t="s">
        <v>3174</v>
      </c>
      <c r="F22" s="549"/>
      <c r="G22" s="568" t="s">
        <v>3174</v>
      </c>
      <c r="H22" s="547"/>
      <c r="I22" s="568" t="s">
        <v>3174</v>
      </c>
      <c r="J22" s="547"/>
      <c r="K22" s="2444"/>
      <c r="L22" s="2022"/>
      <c r="M22" s="2014"/>
      <c r="N22" s="2014"/>
      <c r="O22" s="2021"/>
      <c r="P22" s="3613"/>
      <c r="Q22" s="2427"/>
      <c r="R22" s="1506"/>
      <c r="S22" s="1507"/>
      <c r="T22" s="1506"/>
      <c r="U22" s="1507"/>
      <c r="V22" s="1506"/>
      <c r="W22" s="1507"/>
      <c r="X22" s="2429"/>
      <c r="Y22" s="3613"/>
      <c r="Z22" s="2428"/>
      <c r="AA22" s="1509">
        <v>1</v>
      </c>
      <c r="AB22" s="1509">
        <v>1</v>
      </c>
      <c r="AC22" s="1509">
        <v>1</v>
      </c>
    </row>
    <row r="23" spans="1:29" ht="76.150000000000006" customHeight="1">
      <c r="A23" s="524"/>
      <c r="B23" s="858" t="s">
        <v>295</v>
      </c>
      <c r="C23" s="887"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96</v>
      </c>
      <c r="G23" s="556"/>
      <c r="H23" s="551">
        <f>SUMIF(84:84,G24,85:85)-SUMIF(84:84,C24,85:85)+100</f>
        <v>96</v>
      </c>
      <c r="I23" s="554"/>
      <c r="J23" s="551">
        <f>SUMIF(84:84,I24,85:85)-SUMIF(84:84,C24,85:85)+100</f>
        <v>98</v>
      </c>
      <c r="K23" s="885">
        <v>2</v>
      </c>
      <c r="L23" s="2022"/>
      <c r="M23" s="2014"/>
      <c r="N23" s="2014"/>
      <c r="O23" s="2021"/>
      <c r="P23" s="3613"/>
      <c r="Q23" s="1505" t="str">
        <f>B23</f>
        <v>自然及人文环境</v>
      </c>
      <c r="R23" s="1506" t="s">
        <v>8</v>
      </c>
      <c r="S23" s="1507">
        <f>F23</f>
        <v>96</v>
      </c>
      <c r="T23" s="1506" t="s">
        <v>8</v>
      </c>
      <c r="U23" s="1507">
        <f>H23</f>
        <v>96</v>
      </c>
      <c r="V23" s="1506" t="s">
        <v>8</v>
      </c>
      <c r="W23" s="1507">
        <f>J23</f>
        <v>98</v>
      </c>
      <c r="X23" s="1500"/>
      <c r="Y23" s="3613"/>
      <c r="Z23" s="1508" t="str">
        <f>Q23</f>
        <v>自然及人文环境</v>
      </c>
      <c r="AA23" s="1509">
        <f t="shared" si="3"/>
        <v>1.0416666666666667</v>
      </c>
      <c r="AB23" s="1509">
        <f t="shared" si="4"/>
        <v>1.0416666666666667</v>
      </c>
      <c r="AC23" s="1509">
        <f t="shared" si="5"/>
        <v>1.0204081632653061</v>
      </c>
    </row>
    <row r="24" spans="1:29" ht="15">
      <c r="A24" s="524"/>
      <c r="B24" s="587"/>
      <c r="C24" s="568" t="s">
        <v>3081</v>
      </c>
      <c r="D24" s="547"/>
      <c r="E24" s="548" t="s">
        <v>3074</v>
      </c>
      <c r="F24" s="549"/>
      <c r="G24" s="550" t="s">
        <v>3074</v>
      </c>
      <c r="H24" s="547"/>
      <c r="I24" s="548" t="s">
        <v>3075</v>
      </c>
      <c r="J24" s="547"/>
      <c r="K24" s="886"/>
      <c r="L24" s="2022"/>
      <c r="M24" s="2014"/>
      <c r="N24" s="2014"/>
      <c r="O24" s="2021"/>
      <c r="P24" s="3613"/>
      <c r="Q24" s="1505"/>
      <c r="R24" s="1506"/>
      <c r="S24" s="1507"/>
      <c r="T24" s="1506"/>
      <c r="U24" s="1507"/>
      <c r="V24" s="1506"/>
      <c r="W24" s="1507"/>
      <c r="X24" s="1500"/>
      <c r="Y24" s="3613"/>
      <c r="Z24" s="1508"/>
      <c r="AA24" s="1509">
        <v>1</v>
      </c>
      <c r="AB24" s="1509">
        <v>1</v>
      </c>
      <c r="AC24" s="1509">
        <v>1</v>
      </c>
    </row>
    <row r="25" spans="1:29" ht="15">
      <c r="A25" s="524"/>
      <c r="B25" s="519" t="s">
        <v>539</v>
      </c>
      <c r="C25" s="575" t="s">
        <v>3175</v>
      </c>
      <c r="D25" s="532">
        <v>100</v>
      </c>
      <c r="E25" s="575" t="s">
        <v>3088</v>
      </c>
      <c r="F25" s="567">
        <f>SUMIF(86:86,E25,87:87)-SUMIF(86:86,C25,87:87)+100</f>
        <v>94</v>
      </c>
      <c r="G25" s="575" t="s">
        <v>3088</v>
      </c>
      <c r="H25" s="532">
        <f>SUMIF(86:86,G25,87:87)-SUMIF(86:86,C25,87:87)+100</f>
        <v>94</v>
      </c>
      <c r="I25" s="575" t="s">
        <v>3086</v>
      </c>
      <c r="J25" s="532">
        <f>SUMIF(86:86,I25,87:87)-SUMIF(86:86,C25,87:87)+100</f>
        <v>96</v>
      </c>
      <c r="K25" s="576">
        <v>2</v>
      </c>
      <c r="L25" s="2022"/>
      <c r="M25" s="2014"/>
      <c r="N25" s="2014"/>
      <c r="O25" s="2021"/>
      <c r="P25" s="3613"/>
      <c r="Q25" s="1505" t="str">
        <f t="shared" ref="Q25:Q46" si="11">B25</f>
        <v>临街状况</v>
      </c>
      <c r="R25" s="1506" t="s">
        <v>8</v>
      </c>
      <c r="S25" s="1507">
        <f>F25</f>
        <v>94</v>
      </c>
      <c r="T25" s="1506" t="s">
        <v>8</v>
      </c>
      <c r="U25" s="1507">
        <f>H25</f>
        <v>94</v>
      </c>
      <c r="V25" s="1506" t="s">
        <v>8</v>
      </c>
      <c r="W25" s="1507">
        <f>J25</f>
        <v>96</v>
      </c>
      <c r="X25" s="1500"/>
      <c r="Y25" s="3613"/>
      <c r="Z25" s="1508" t="str">
        <f>Q25</f>
        <v>临街状况</v>
      </c>
      <c r="AA25" s="1509">
        <f t="shared" si="3"/>
        <v>1.0638297872340425</v>
      </c>
      <c r="AB25" s="1509">
        <f t="shared" si="4"/>
        <v>1.0638297872340425</v>
      </c>
      <c r="AC25" s="1509">
        <f t="shared" si="5"/>
        <v>1.0416666666666667</v>
      </c>
    </row>
    <row r="26" spans="1:29" ht="15">
      <c r="A26" s="524"/>
      <c r="B26" s="864" t="s">
        <v>750</v>
      </c>
      <c r="C26" s="3346" t="s">
        <v>3092</v>
      </c>
      <c r="D26" s="532">
        <v>100</v>
      </c>
      <c r="E26" s="3346" t="s">
        <v>3092</v>
      </c>
      <c r="F26" s="567">
        <f>SUMIF(88:88,E26,89:89)-SUMIF(88:88,C26,89:89)+100</f>
        <v>100</v>
      </c>
      <c r="G26" s="3346" t="s">
        <v>3092</v>
      </c>
      <c r="H26" s="532">
        <f>SUMIF(88:88,G26,89:89)-SUMIF(88:88,C26,89:89)+100</f>
        <v>100</v>
      </c>
      <c r="I26" s="3346" t="s">
        <v>3092</v>
      </c>
      <c r="J26" s="532">
        <f>SUMIF(88:88,I26,89:89)-SUMIF(88:88,C26,89:89)+100</f>
        <v>100</v>
      </c>
      <c r="K26" s="573"/>
      <c r="L26" s="2022"/>
      <c r="M26" s="2014"/>
      <c r="N26" s="2014"/>
      <c r="O26" s="2021"/>
      <c r="P26" s="3613"/>
      <c r="Q26" s="1505" t="str">
        <f t="shared" si="11"/>
        <v>平面位置/可视性</v>
      </c>
      <c r="R26" s="1506" t="s">
        <v>8</v>
      </c>
      <c r="S26" s="1507">
        <f>F26</f>
        <v>100</v>
      </c>
      <c r="T26" s="1506" t="s">
        <v>8</v>
      </c>
      <c r="U26" s="1507">
        <f>H26</f>
        <v>100</v>
      </c>
      <c r="V26" s="1506" t="s">
        <v>8</v>
      </c>
      <c r="W26" s="1507">
        <f>J26</f>
        <v>100</v>
      </c>
      <c r="X26" s="1500"/>
      <c r="Y26" s="3613"/>
      <c r="Z26" s="1508" t="str">
        <f>Q26</f>
        <v>平面位置/可视性</v>
      </c>
      <c r="AA26" s="1509">
        <f t="shared" si="3"/>
        <v>1</v>
      </c>
      <c r="AB26" s="1509">
        <f t="shared" si="4"/>
        <v>1</v>
      </c>
      <c r="AC26" s="1509">
        <f t="shared" si="5"/>
        <v>1</v>
      </c>
    </row>
    <row r="27" spans="1:29" s="1201" customFormat="1" ht="15.75" thickBot="1">
      <c r="A27" s="528"/>
      <c r="B27" s="858" t="s">
        <v>751</v>
      </c>
      <c r="C27" s="3347" t="s">
        <v>3094</v>
      </c>
      <c r="D27" s="862">
        <v>100</v>
      </c>
      <c r="E27" s="888" t="s">
        <v>3100</v>
      </c>
      <c r="F27" s="863">
        <f>SUMIF(90:90,E27,91:91)-SUMIF(90:90,C27,91:91)+100</f>
        <v>98</v>
      </c>
      <c r="G27" s="888" t="s">
        <v>3074</v>
      </c>
      <c r="H27" s="862">
        <f>SUMIF(90:90,G27,91:91)-SUMIF(90:90,C27,91:91)+100</f>
        <v>96</v>
      </c>
      <c r="I27" s="888" t="s">
        <v>3093</v>
      </c>
      <c r="J27" s="862">
        <f>SUMIF(90:90,I27,91:91)-SUMIF(90:90,C27,91:91)+100</f>
        <v>100</v>
      </c>
      <c r="K27" s="576">
        <v>2</v>
      </c>
      <c r="L27" s="2015"/>
      <c r="M27" s="2016"/>
      <c r="N27" s="2016"/>
      <c r="O27" s="2017"/>
      <c r="P27" s="3613"/>
      <c r="Q27" s="1132" t="str">
        <f t="shared" si="11"/>
        <v>人流量</v>
      </c>
      <c r="R27" s="1501" t="s">
        <v>8</v>
      </c>
      <c r="S27" s="1502">
        <f>F27</f>
        <v>98</v>
      </c>
      <c r="T27" s="1501" t="s">
        <v>8</v>
      </c>
      <c r="U27" s="1502">
        <f>H27</f>
        <v>96</v>
      </c>
      <c r="V27" s="1501" t="s">
        <v>8</v>
      </c>
      <c r="W27" s="1502">
        <f>J27</f>
        <v>100</v>
      </c>
      <c r="X27" s="1503"/>
      <c r="Y27" s="3613"/>
      <c r="Z27" s="1131" t="str">
        <f>Q27</f>
        <v>人流量</v>
      </c>
      <c r="AA27" s="1509">
        <f>D27/F27</f>
        <v>1.0204081632653061</v>
      </c>
      <c r="AB27" s="1509">
        <f>D27/H27</f>
        <v>1.0416666666666667</v>
      </c>
      <c r="AC27" s="1509">
        <f>D27/J27</f>
        <v>1</v>
      </c>
    </row>
    <row r="28" spans="1:29" ht="15" hidden="1">
      <c r="A28" s="524"/>
      <c r="B28" s="519" t="s">
        <v>753</v>
      </c>
      <c r="C28" s="575" t="s">
        <v>3095</v>
      </c>
      <c r="D28" s="532">
        <v>100</v>
      </c>
      <c r="E28" s="575" t="s">
        <v>3105</v>
      </c>
      <c r="F28" s="567">
        <f>SUMIF(92:92,E28,93:93)-SUMIF(92:92,C28,93:93)+100</f>
        <v>100</v>
      </c>
      <c r="G28" s="575" t="s">
        <v>3105</v>
      </c>
      <c r="H28" s="532">
        <f>SUMIF(92:92,G28,93:93)-SUMIF(92:92,C28,93:93)+100</f>
        <v>100</v>
      </c>
      <c r="I28" s="575" t="s">
        <v>3105</v>
      </c>
      <c r="J28" s="532">
        <f>SUMIF(92:92,I28,93:93)-SUMIF(92:92,C28,93:93)+100</f>
        <v>100</v>
      </c>
      <c r="K28" s="573"/>
      <c r="L28" s="2022"/>
      <c r="M28" s="2014"/>
      <c r="N28" s="2014"/>
      <c r="O28" s="2021"/>
      <c r="P28" s="3613"/>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613"/>
      <c r="Z28" s="1508" t="str">
        <f t="shared" ref="Z28:Z46" si="15">Q28</f>
        <v>楼层</v>
      </c>
      <c r="AA28" s="1509">
        <f t="shared" si="3"/>
        <v>1</v>
      </c>
      <c r="AB28" s="1509">
        <f t="shared" si="4"/>
        <v>1</v>
      </c>
      <c r="AC28" s="1509">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2"/>
      <c r="M29" s="2014"/>
      <c r="N29" s="2014"/>
      <c r="O29" s="2021"/>
      <c r="P29" s="3613"/>
      <c r="Q29" s="1505">
        <f t="shared" si="11"/>
        <v>111</v>
      </c>
      <c r="R29" s="1506" t="s">
        <v>8</v>
      </c>
      <c r="S29" s="1507">
        <f t="shared" si="12"/>
        <v>100</v>
      </c>
      <c r="T29" s="1506" t="s">
        <v>8</v>
      </c>
      <c r="U29" s="1507">
        <f t="shared" si="13"/>
        <v>100</v>
      </c>
      <c r="V29" s="1506" t="s">
        <v>8</v>
      </c>
      <c r="W29" s="1507">
        <f t="shared" si="14"/>
        <v>100</v>
      </c>
      <c r="X29" s="1500"/>
      <c r="Y29" s="3613"/>
      <c r="Z29" s="1508">
        <f t="shared" si="15"/>
        <v>111</v>
      </c>
      <c r="AA29" s="1509">
        <f t="shared" si="3"/>
        <v>1</v>
      </c>
      <c r="AB29" s="1509">
        <f t="shared" si="4"/>
        <v>1</v>
      </c>
      <c r="AC29" s="1509">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2"/>
      <c r="M30" s="2014"/>
      <c r="N30" s="2014"/>
      <c r="O30" s="2021"/>
      <c r="P30" s="3613"/>
      <c r="Q30" s="1505">
        <f t="shared" si="11"/>
        <v>111</v>
      </c>
      <c r="R30" s="1506" t="s">
        <v>8</v>
      </c>
      <c r="S30" s="1507">
        <f t="shared" si="12"/>
        <v>100</v>
      </c>
      <c r="T30" s="1506" t="s">
        <v>8</v>
      </c>
      <c r="U30" s="1507">
        <f t="shared" si="13"/>
        <v>100</v>
      </c>
      <c r="V30" s="1506" t="s">
        <v>8</v>
      </c>
      <c r="W30" s="1507">
        <f t="shared" si="14"/>
        <v>100</v>
      </c>
      <c r="X30" s="1500"/>
      <c r="Y30" s="3613"/>
      <c r="Z30" s="1508">
        <f t="shared" si="15"/>
        <v>111</v>
      </c>
      <c r="AA30" s="1509">
        <f t="shared" si="3"/>
        <v>1</v>
      </c>
      <c r="AB30" s="1509">
        <f t="shared" si="4"/>
        <v>1</v>
      </c>
      <c r="AC30" s="1509">
        <f t="shared" si="5"/>
        <v>1</v>
      </c>
    </row>
    <row r="31" spans="1:29" ht="15.75" hidden="1"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2"/>
      <c r="M31" s="2014"/>
      <c r="N31" s="2014"/>
      <c r="O31" s="2021"/>
      <c r="P31" s="3613"/>
      <c r="Q31" s="1505">
        <f t="shared" si="11"/>
        <v>111</v>
      </c>
      <c r="R31" s="1506" t="s">
        <v>8</v>
      </c>
      <c r="S31" s="1507">
        <f t="shared" si="12"/>
        <v>100</v>
      </c>
      <c r="T31" s="1506" t="s">
        <v>8</v>
      </c>
      <c r="U31" s="1507">
        <f t="shared" si="13"/>
        <v>100</v>
      </c>
      <c r="V31" s="1506" t="s">
        <v>8</v>
      </c>
      <c r="W31" s="1507">
        <f t="shared" si="14"/>
        <v>100</v>
      </c>
      <c r="X31" s="1500"/>
      <c r="Y31" s="3613"/>
      <c r="Z31" s="1508">
        <f t="shared" si="15"/>
        <v>111</v>
      </c>
      <c r="AA31" s="1509">
        <f t="shared" si="3"/>
        <v>1</v>
      </c>
      <c r="AB31" s="1509">
        <f t="shared" si="4"/>
        <v>1</v>
      </c>
      <c r="AC31" s="1509">
        <f t="shared" si="5"/>
        <v>1</v>
      </c>
    </row>
    <row r="32" spans="1:29" ht="27">
      <c r="A32" s="2622" t="s">
        <v>2733</v>
      </c>
      <c r="B32" s="169" t="s">
        <v>754</v>
      </c>
      <c r="C32" s="865" t="s">
        <v>3159</v>
      </c>
      <c r="D32" s="589">
        <v>100</v>
      </c>
      <c r="E32" s="865" t="s">
        <v>3108</v>
      </c>
      <c r="F32" s="567">
        <f>SUMIF(100:100,E32,101:101)-SUMIF(100:100,C32,101:101)+100</f>
        <v>102</v>
      </c>
      <c r="G32" s="865" t="s">
        <v>3111</v>
      </c>
      <c r="H32" s="532">
        <f>SUMIF(100:100,G32,101:101)-SUMIF(100:100,C32,101:101)+100</f>
        <v>98</v>
      </c>
      <c r="I32" s="865" t="s">
        <v>3106</v>
      </c>
      <c r="J32" s="589">
        <f>SUMIF(100:100,I32,101:101)-SUMIF(100:100,C32,101:101)+100</f>
        <v>104</v>
      </c>
      <c r="K32" s="576">
        <v>2</v>
      </c>
      <c r="L32" s="2022"/>
      <c r="M32" s="2014"/>
      <c r="N32" s="2014"/>
      <c r="O32" s="2021"/>
      <c r="P32" s="3614" t="s">
        <v>542</v>
      </c>
      <c r="Q32" s="1505" t="str">
        <f t="shared" si="11"/>
        <v>商业类型</v>
      </c>
      <c r="R32" s="1506" t="s">
        <v>8</v>
      </c>
      <c r="S32" s="1507">
        <f t="shared" si="12"/>
        <v>102</v>
      </c>
      <c r="T32" s="1506" t="s">
        <v>8</v>
      </c>
      <c r="U32" s="1507">
        <f t="shared" si="13"/>
        <v>98</v>
      </c>
      <c r="V32" s="1506" t="s">
        <v>8</v>
      </c>
      <c r="W32" s="1507">
        <f t="shared" si="14"/>
        <v>104</v>
      </c>
      <c r="X32" s="1500"/>
      <c r="Y32" s="3615" t="s">
        <v>542</v>
      </c>
      <c r="Z32" s="1508" t="str">
        <f t="shared" si="15"/>
        <v>商业类型</v>
      </c>
      <c r="AA32" s="1509">
        <f t="shared" si="3"/>
        <v>0.98039215686274506</v>
      </c>
      <c r="AB32" s="1509">
        <f t="shared" si="4"/>
        <v>1.0204081632653061</v>
      </c>
      <c r="AC32" s="1509">
        <f t="shared" si="5"/>
        <v>0.96153846153846156</v>
      </c>
    </row>
    <row r="33" spans="1:29" s="1291" customFormat="1" ht="15">
      <c r="A33" s="595"/>
      <c r="B33" s="519" t="s">
        <v>718</v>
      </c>
      <c r="C33" s="867">
        <f>剩余法商业!C9</f>
        <v>15401.814</v>
      </c>
      <c r="D33" s="251">
        <v>100</v>
      </c>
      <c r="E33" s="526">
        <v>3500</v>
      </c>
      <c r="F33" s="850">
        <f>LOOKUP(E33,103:103,104:104)-LOOKUP(C33,103:103,104:104)+100</f>
        <v>102</v>
      </c>
      <c r="G33" s="525">
        <v>240</v>
      </c>
      <c r="H33" s="251">
        <f>LOOKUP(G33,103:103,104:104)-LOOKUP(C33,103:103,104:104)+100</f>
        <v>102</v>
      </c>
      <c r="I33" s="525">
        <v>5730</v>
      </c>
      <c r="J33" s="251">
        <f>LOOKUP(I33,103:103,104:104)-LOOKUP(C33,103:103,104:104)+100</f>
        <v>102</v>
      </c>
      <c r="K33" s="573"/>
      <c r="L33" s="2020"/>
      <c r="M33" s="2050"/>
      <c r="N33" s="2050"/>
      <c r="O33" s="2023"/>
      <c r="P33" s="3615"/>
      <c r="Q33" s="1534" t="str">
        <f t="shared" si="11"/>
        <v>项目建筑规模</v>
      </c>
      <c r="R33" s="1510" t="s">
        <v>8</v>
      </c>
      <c r="S33" s="1511">
        <f t="shared" si="12"/>
        <v>102</v>
      </c>
      <c r="T33" s="1510" t="s">
        <v>8</v>
      </c>
      <c r="U33" s="1511">
        <f t="shared" si="13"/>
        <v>102</v>
      </c>
      <c r="V33" s="1510" t="s">
        <v>8</v>
      </c>
      <c r="W33" s="1511">
        <f t="shared" si="14"/>
        <v>102</v>
      </c>
      <c r="X33" s="1512"/>
      <c r="Y33" s="3615"/>
      <c r="Z33" s="1513" t="str">
        <f t="shared" si="15"/>
        <v>项目建筑规模</v>
      </c>
      <c r="AA33" s="1509">
        <f t="shared" si="3"/>
        <v>0.98039215686274506</v>
      </c>
      <c r="AB33" s="1509">
        <f t="shared" si="4"/>
        <v>0.98039215686274506</v>
      </c>
      <c r="AC33" s="1509">
        <f t="shared" si="5"/>
        <v>0.98039215686274506</v>
      </c>
    </row>
    <row r="34" spans="1:29" ht="15">
      <c r="A34" s="586"/>
      <c r="B34" s="519" t="s">
        <v>719</v>
      </c>
      <c r="C34" s="868" t="s">
        <v>3080</v>
      </c>
      <c r="D34" s="532">
        <v>100</v>
      </c>
      <c r="E34" s="3351" t="s">
        <v>3132</v>
      </c>
      <c r="F34" s="567">
        <f>SUMIF(105:105,E34,106:106)-SUMIF(105:105,C34,106:106)+100</f>
        <v>100</v>
      </c>
      <c r="G34" s="3352" t="s">
        <v>3134</v>
      </c>
      <c r="H34" s="532">
        <f>SUMIF(105:105,G34,106:106)-SUMIF(105:105,C34,106:106)+100</f>
        <v>100</v>
      </c>
      <c r="I34" s="3352" t="s">
        <v>3113</v>
      </c>
      <c r="J34" s="532">
        <f>SUMIF(105:105,I34,106:106)-SUMIF(105:105,C34,106:106)+100</f>
        <v>100</v>
      </c>
      <c r="K34" s="576"/>
      <c r="L34" s="2022"/>
      <c r="M34" s="2014"/>
      <c r="N34" s="2014"/>
      <c r="O34" s="2021"/>
      <c r="P34" s="3615"/>
      <c r="Q34" s="1505" t="str">
        <f t="shared" si="11"/>
        <v>建筑结构</v>
      </c>
      <c r="R34" s="1506" t="s">
        <v>8</v>
      </c>
      <c r="S34" s="1507">
        <f t="shared" si="12"/>
        <v>100</v>
      </c>
      <c r="T34" s="1506" t="s">
        <v>8</v>
      </c>
      <c r="U34" s="1507">
        <f t="shared" si="13"/>
        <v>100</v>
      </c>
      <c r="V34" s="1506" t="s">
        <v>8</v>
      </c>
      <c r="W34" s="1507">
        <f t="shared" si="14"/>
        <v>100</v>
      </c>
      <c r="X34" s="1500"/>
      <c r="Y34" s="3615"/>
      <c r="Z34" s="1508" t="str">
        <f t="shared" si="15"/>
        <v>建筑结构</v>
      </c>
      <c r="AA34" s="1509">
        <f t="shared" si="3"/>
        <v>1</v>
      </c>
      <c r="AB34" s="1509">
        <f t="shared" si="4"/>
        <v>1</v>
      </c>
      <c r="AC34" s="1509">
        <f t="shared" si="5"/>
        <v>1</v>
      </c>
    </row>
    <row r="35" spans="1:29" s="3368" customFormat="1" ht="15">
      <c r="A35" s="3353"/>
      <c r="B35" s="3354" t="s">
        <v>755</v>
      </c>
      <c r="C35" s="3355" t="s">
        <v>3115</v>
      </c>
      <c r="D35" s="3356">
        <v>100</v>
      </c>
      <c r="E35" s="3355" t="s">
        <v>3115</v>
      </c>
      <c r="F35" s="3357">
        <f>SUMIF(107:107,E35,108:108)-SUMIF(107:107,C35,108:108)+100</f>
        <v>100</v>
      </c>
      <c r="G35" s="3355" t="s">
        <v>3115</v>
      </c>
      <c r="H35" s="3356">
        <f>SUMIF(107:107,G35,108:108)-SUMIF(107:107,C35,108:108)+100</f>
        <v>100</v>
      </c>
      <c r="I35" s="3355" t="s">
        <v>3115</v>
      </c>
      <c r="J35" s="3356">
        <f>SUMIF(107:107,I35,108:108)-SUMIF(107:107,C35,108:108)+100</f>
        <v>100</v>
      </c>
      <c r="K35" s="3358"/>
      <c r="L35" s="3359"/>
      <c r="M35" s="3360"/>
      <c r="N35" s="3360"/>
      <c r="O35" s="3361"/>
      <c r="P35" s="3615"/>
      <c r="Q35" s="3362" t="str">
        <f t="shared" si="11"/>
        <v>公共部分装修</v>
      </c>
      <c r="R35" s="3363" t="s">
        <v>8</v>
      </c>
      <c r="S35" s="3364">
        <f t="shared" si="12"/>
        <v>100</v>
      </c>
      <c r="T35" s="3363" t="s">
        <v>8</v>
      </c>
      <c r="U35" s="3364">
        <f t="shared" si="13"/>
        <v>100</v>
      </c>
      <c r="V35" s="3363" t="s">
        <v>8</v>
      </c>
      <c r="W35" s="3364">
        <f t="shared" si="14"/>
        <v>100</v>
      </c>
      <c r="X35" s="3365"/>
      <c r="Y35" s="3615"/>
      <c r="Z35" s="3366" t="str">
        <f t="shared" si="15"/>
        <v>公共部分装修</v>
      </c>
      <c r="AA35" s="3367">
        <f t="shared" si="3"/>
        <v>1</v>
      </c>
      <c r="AB35" s="3367">
        <f t="shared" si="4"/>
        <v>1</v>
      </c>
      <c r="AC35" s="3367">
        <f t="shared" si="5"/>
        <v>1</v>
      </c>
    </row>
    <row r="36" spans="1:29" ht="15">
      <c r="A36" s="586"/>
      <c r="B36" s="519" t="s">
        <v>756</v>
      </c>
      <c r="C36" s="870">
        <v>1</v>
      </c>
      <c r="D36" s="532">
        <v>100</v>
      </c>
      <c r="E36" s="870">
        <v>0.75</v>
      </c>
      <c r="F36" s="567">
        <f>LOOKUP(E36,110:110,111:111)-LOOKUP(C36,110:110,111:111)+100</f>
        <v>98</v>
      </c>
      <c r="G36" s="870">
        <v>0.75</v>
      </c>
      <c r="H36" s="567">
        <f>LOOKUP(G36,110:110,111:111)-LOOKUP(C36,110:110,111:111)+100</f>
        <v>98</v>
      </c>
      <c r="I36" s="870">
        <v>0.8</v>
      </c>
      <c r="J36" s="532">
        <f>LOOKUP(I36,110:110,111:111)-LOOKUP(C36,110:110,111:111)+100</f>
        <v>99</v>
      </c>
      <c r="K36" s="576">
        <v>1</v>
      </c>
      <c r="L36" s="2022"/>
      <c r="M36" s="2014"/>
      <c r="N36" s="2014"/>
      <c r="O36" s="2021"/>
      <c r="P36" s="3615"/>
      <c r="Q36" s="1505" t="str">
        <f t="shared" si="11"/>
        <v>成新度</v>
      </c>
      <c r="R36" s="1506" t="s">
        <v>8</v>
      </c>
      <c r="S36" s="1507">
        <f t="shared" si="12"/>
        <v>98</v>
      </c>
      <c r="T36" s="1506" t="s">
        <v>8</v>
      </c>
      <c r="U36" s="1507">
        <f t="shared" si="13"/>
        <v>98</v>
      </c>
      <c r="V36" s="1506" t="s">
        <v>8</v>
      </c>
      <c r="W36" s="1507">
        <f t="shared" si="14"/>
        <v>99</v>
      </c>
      <c r="X36" s="1500"/>
      <c r="Y36" s="3615"/>
      <c r="Z36" s="1508" t="str">
        <f t="shared" si="15"/>
        <v>成新度</v>
      </c>
      <c r="AA36" s="1509">
        <f t="shared" si="3"/>
        <v>1.0204081632653061</v>
      </c>
      <c r="AB36" s="1509">
        <f t="shared" si="4"/>
        <v>1.0204081632653061</v>
      </c>
      <c r="AC36" s="1509">
        <f t="shared" si="5"/>
        <v>1.0101010101010102</v>
      </c>
    </row>
    <row r="37" spans="1:29" s="1201" customFormat="1" ht="15" hidden="1">
      <c r="A37" s="592"/>
      <c r="B37" s="1807" t="s">
        <v>2544</v>
      </c>
      <c r="C37" s="591" t="s">
        <v>3083</v>
      </c>
      <c r="D37" s="251">
        <v>100</v>
      </c>
      <c r="E37" s="591" t="s">
        <v>3083</v>
      </c>
      <c r="F37" s="567">
        <f>SUMIF(112:112,E37,113:113)-SUMIF(112:112,C37,113:113)+100</f>
        <v>100</v>
      </c>
      <c r="G37" s="591" t="s">
        <v>3083</v>
      </c>
      <c r="H37" s="532">
        <f>SUMIF(112:112,G37,113:113)-SUMIF(112:112,C37,113:113)+100</f>
        <v>100</v>
      </c>
      <c r="I37" s="591" t="s">
        <v>3083</v>
      </c>
      <c r="J37" s="532">
        <f>SUMIF(112:112,I37,113:113)-SUMIF(112:112,C37,113:113)+100</f>
        <v>100</v>
      </c>
      <c r="K37" s="576">
        <v>1</v>
      </c>
      <c r="L37" s="2015"/>
      <c r="M37" s="2016"/>
      <c r="N37" s="2016"/>
      <c r="O37" s="2017"/>
      <c r="P37" s="3615"/>
      <c r="Q37" s="1132" t="str">
        <f t="shared" si="11"/>
        <v>市政基础设施</v>
      </c>
      <c r="R37" s="1501" t="s">
        <v>8</v>
      </c>
      <c r="S37" s="1502">
        <f t="shared" si="12"/>
        <v>100</v>
      </c>
      <c r="T37" s="1501" t="s">
        <v>8</v>
      </c>
      <c r="U37" s="1502">
        <f t="shared" si="13"/>
        <v>100</v>
      </c>
      <c r="V37" s="1501" t="s">
        <v>8</v>
      </c>
      <c r="W37" s="1502">
        <f t="shared" si="14"/>
        <v>100</v>
      </c>
      <c r="X37" s="1503"/>
      <c r="Y37" s="3615"/>
      <c r="Z37" s="1131" t="str">
        <f t="shared" si="15"/>
        <v>市政基础设施</v>
      </c>
      <c r="AA37" s="1504">
        <f t="shared" si="3"/>
        <v>1</v>
      </c>
      <c r="AB37" s="1504">
        <f t="shared" si="4"/>
        <v>1</v>
      </c>
      <c r="AC37" s="1504">
        <f t="shared" si="5"/>
        <v>1</v>
      </c>
    </row>
    <row r="38" spans="1:29" ht="15" hidden="1">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2"/>
      <c r="M38" s="2014"/>
      <c r="N38" s="2014"/>
      <c r="O38" s="2021"/>
      <c r="P38" s="3615" t="s">
        <v>758</v>
      </c>
      <c r="Q38" s="1505" t="str">
        <f t="shared" si="11"/>
        <v>业态</v>
      </c>
      <c r="R38" s="1506" t="s">
        <v>8</v>
      </c>
      <c r="S38" s="1507">
        <f t="shared" si="12"/>
        <v>100</v>
      </c>
      <c r="T38" s="1506" t="s">
        <v>8</v>
      </c>
      <c r="U38" s="1507">
        <f t="shared" si="13"/>
        <v>100</v>
      </c>
      <c r="V38" s="1506" t="s">
        <v>8</v>
      </c>
      <c r="W38" s="1507">
        <f t="shared" si="14"/>
        <v>100</v>
      </c>
      <c r="X38" s="1500"/>
      <c r="Y38" s="3615" t="s">
        <v>758</v>
      </c>
      <c r="Z38" s="1508" t="str">
        <f t="shared" si="15"/>
        <v>业态</v>
      </c>
      <c r="AA38" s="1509">
        <f t="shared" si="3"/>
        <v>1</v>
      </c>
      <c r="AB38" s="1509">
        <f t="shared" si="4"/>
        <v>1</v>
      </c>
      <c r="AC38" s="1509">
        <f t="shared" si="5"/>
        <v>1</v>
      </c>
    </row>
    <row r="39" spans="1:29" ht="15">
      <c r="A39" s="586"/>
      <c r="B39" s="519" t="s">
        <v>759</v>
      </c>
      <c r="C39" s="591" t="s">
        <v>3128</v>
      </c>
      <c r="D39" s="532">
        <v>100</v>
      </c>
      <c r="E39" s="591" t="s">
        <v>3128</v>
      </c>
      <c r="F39" s="567">
        <f>SUMIF(116:116,E39,117:117)-SUMIF(116:116,C39,117:117)+100</f>
        <v>100</v>
      </c>
      <c r="G39" s="591" t="s">
        <v>3128</v>
      </c>
      <c r="H39" s="532">
        <f>SUMIF(116:116,G39,117:117)-SUMIF(116:116,C39,117:117)+100</f>
        <v>100</v>
      </c>
      <c r="I39" s="591" t="s">
        <v>3128</v>
      </c>
      <c r="J39" s="532">
        <f>SUMIF(116:116,I39,117:117)-SUMIF(116:116,C39,117:117)+100</f>
        <v>100</v>
      </c>
      <c r="K39" s="576"/>
      <c r="L39" s="2022"/>
      <c r="M39" s="2014"/>
      <c r="N39" s="2014"/>
      <c r="O39" s="2021"/>
      <c r="P39" s="3615"/>
      <c r="Q39" s="1505" t="str">
        <f t="shared" si="11"/>
        <v>层高</v>
      </c>
      <c r="R39" s="1506" t="s">
        <v>8</v>
      </c>
      <c r="S39" s="1507">
        <f t="shared" si="12"/>
        <v>100</v>
      </c>
      <c r="T39" s="1506" t="s">
        <v>8</v>
      </c>
      <c r="U39" s="1507">
        <f t="shared" si="13"/>
        <v>100</v>
      </c>
      <c r="V39" s="1506" t="s">
        <v>8</v>
      </c>
      <c r="W39" s="1507">
        <f t="shared" si="14"/>
        <v>100</v>
      </c>
      <c r="X39" s="1500"/>
      <c r="Y39" s="3615"/>
      <c r="Z39" s="1508" t="str">
        <f t="shared" si="15"/>
        <v>层高</v>
      </c>
      <c r="AA39" s="1509">
        <f t="shared" si="3"/>
        <v>1</v>
      </c>
      <c r="AB39" s="1509">
        <f t="shared" si="4"/>
        <v>1</v>
      </c>
      <c r="AC39" s="1509">
        <f t="shared" si="5"/>
        <v>1</v>
      </c>
    </row>
    <row r="40" spans="1:29" ht="15" hidden="1">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2"/>
      <c r="M40" s="2014"/>
      <c r="N40" s="2014"/>
      <c r="O40" s="2021"/>
      <c r="P40" s="3615"/>
      <c r="Q40" s="1505" t="str">
        <f t="shared" si="11"/>
        <v>单套建筑面积</v>
      </c>
      <c r="R40" s="1506" t="s">
        <v>8</v>
      </c>
      <c r="S40" s="1507">
        <f t="shared" si="12"/>
        <v>100</v>
      </c>
      <c r="T40" s="1506" t="s">
        <v>8</v>
      </c>
      <c r="U40" s="1507">
        <f t="shared" si="13"/>
        <v>100</v>
      </c>
      <c r="V40" s="1506" t="s">
        <v>8</v>
      </c>
      <c r="W40" s="1507">
        <f t="shared" si="14"/>
        <v>100</v>
      </c>
      <c r="X40" s="1500"/>
      <c r="Y40" s="3615"/>
      <c r="Z40" s="1508" t="str">
        <f t="shared" si="15"/>
        <v>单套建筑面积</v>
      </c>
      <c r="AA40" s="1509">
        <f t="shared" si="3"/>
        <v>1</v>
      </c>
      <c r="AB40" s="1509">
        <f t="shared" si="4"/>
        <v>1</v>
      </c>
      <c r="AC40" s="1509">
        <f t="shared" si="5"/>
        <v>1</v>
      </c>
    </row>
    <row r="41" spans="1:29" s="1291" customFormat="1" ht="15">
      <c r="A41" s="595"/>
      <c r="B41" s="891" t="s">
        <v>761</v>
      </c>
      <c r="C41" s="575" t="s">
        <v>3075</v>
      </c>
      <c r="D41" s="532">
        <v>100</v>
      </c>
      <c r="E41" s="575" t="s">
        <v>3075</v>
      </c>
      <c r="F41" s="567">
        <f>SUMIF(120:120,E41,121:121)-SUMIF(120:120,C41,121:121)+100</f>
        <v>100</v>
      </c>
      <c r="G41" s="575" t="s">
        <v>3075</v>
      </c>
      <c r="H41" s="532">
        <f>SUMIF(120:120,G41,121:121)-SUMIF(120:120,C41,121:121)+100</f>
        <v>100</v>
      </c>
      <c r="I41" s="575" t="s">
        <v>3075</v>
      </c>
      <c r="J41" s="532">
        <f>SUMIF(120:120,I41,121:121)-SUMIF(120:120,C41,121:121)+100</f>
        <v>100</v>
      </c>
      <c r="K41" s="576"/>
      <c r="L41" s="2020"/>
      <c r="M41" s="2050"/>
      <c r="N41" s="2050"/>
      <c r="O41" s="2023"/>
      <c r="P41" s="3615"/>
      <c r="Q41" s="1534" t="str">
        <f t="shared" si="11"/>
        <v>进深比</v>
      </c>
      <c r="R41" s="1510" t="s">
        <v>8</v>
      </c>
      <c r="S41" s="1511">
        <f t="shared" si="12"/>
        <v>100</v>
      </c>
      <c r="T41" s="1510" t="s">
        <v>8</v>
      </c>
      <c r="U41" s="1511">
        <f t="shared" si="13"/>
        <v>100</v>
      </c>
      <c r="V41" s="1510" t="s">
        <v>8</v>
      </c>
      <c r="W41" s="1511">
        <f t="shared" si="14"/>
        <v>100</v>
      </c>
      <c r="X41" s="1512"/>
      <c r="Y41" s="3615"/>
      <c r="Z41" s="1513" t="str">
        <f t="shared" si="15"/>
        <v>进深比</v>
      </c>
      <c r="AA41" s="1509">
        <f t="shared" si="3"/>
        <v>1</v>
      </c>
      <c r="AB41" s="1509">
        <f t="shared" si="4"/>
        <v>1</v>
      </c>
      <c r="AC41" s="1509">
        <f t="shared" si="5"/>
        <v>1</v>
      </c>
    </row>
    <row r="42" spans="1:29" ht="15.75" thickBot="1">
      <c r="A42" s="586"/>
      <c r="B42" s="519" t="s">
        <v>762</v>
      </c>
      <c r="C42" s="591" t="s">
        <v>3120</v>
      </c>
      <c r="D42" s="532">
        <v>100</v>
      </c>
      <c r="E42" s="591" t="s">
        <v>3115</v>
      </c>
      <c r="F42" s="567">
        <f>SUMIF(122:122,E42,123:123)-SUMIF(122:122,C42,123:123)+100</f>
        <v>103</v>
      </c>
      <c r="G42" s="591" t="s">
        <v>3117</v>
      </c>
      <c r="H42" s="532">
        <f>SUMIF(122:122,G42,123:123)-SUMIF(122:122,C42,123:123)+100</f>
        <v>102</v>
      </c>
      <c r="I42" s="591" t="s">
        <v>3115</v>
      </c>
      <c r="J42" s="532">
        <f>SUMIF(122:122,I42,123:123)-SUMIF(122:122,C42,123:123)+100</f>
        <v>103</v>
      </c>
      <c r="K42" s="576">
        <v>1</v>
      </c>
      <c r="L42" s="2022"/>
      <c r="M42" s="2014"/>
      <c r="N42" s="2014"/>
      <c r="O42" s="2021"/>
      <c r="P42" s="3615"/>
      <c r="Q42" s="1505" t="str">
        <f t="shared" si="11"/>
        <v>内部装修</v>
      </c>
      <c r="R42" s="1506" t="s">
        <v>8</v>
      </c>
      <c r="S42" s="1507">
        <f t="shared" si="12"/>
        <v>103</v>
      </c>
      <c r="T42" s="1506" t="s">
        <v>8</v>
      </c>
      <c r="U42" s="1507">
        <f t="shared" si="13"/>
        <v>102</v>
      </c>
      <c r="V42" s="1506" t="s">
        <v>8</v>
      </c>
      <c r="W42" s="1507">
        <f t="shared" si="14"/>
        <v>103</v>
      </c>
      <c r="X42" s="1500"/>
      <c r="Y42" s="3615"/>
      <c r="Z42" s="1508" t="str">
        <f t="shared" si="15"/>
        <v>内部装修</v>
      </c>
      <c r="AA42" s="1509">
        <f t="shared" si="3"/>
        <v>0.970873786407767</v>
      </c>
      <c r="AB42" s="1509">
        <f t="shared" si="4"/>
        <v>0.98039215686274506</v>
      </c>
      <c r="AC42" s="1509">
        <f t="shared" si="5"/>
        <v>0.970873786407767</v>
      </c>
    </row>
    <row r="43" spans="1:29" ht="27.75" hidden="1" thickBot="1">
      <c r="A43" s="586"/>
      <c r="B43" s="519" t="s">
        <v>727</v>
      </c>
      <c r="C43" s="591" t="s">
        <v>3075</v>
      </c>
      <c r="D43" s="532">
        <v>100</v>
      </c>
      <c r="E43" s="591" t="s">
        <v>3075</v>
      </c>
      <c r="F43" s="567">
        <f>SUMIF(124:124,E43,125:125)-SUMIF(124:124,C43,125:125)+100</f>
        <v>100</v>
      </c>
      <c r="G43" s="591" t="s">
        <v>3075</v>
      </c>
      <c r="H43" s="532">
        <f>SUMIF(124:124,G43,125:125)-SUMIF(124:124,C43,125:125)+100</f>
        <v>100</v>
      </c>
      <c r="I43" s="591" t="s">
        <v>3075</v>
      </c>
      <c r="J43" s="532">
        <f>SUMIF(124:124,I43,125:125)-SUMIF(124:124,C43,125:125)+100</f>
        <v>100</v>
      </c>
      <c r="K43" s="576">
        <v>1</v>
      </c>
      <c r="L43" s="2022"/>
      <c r="M43" s="2014"/>
      <c r="N43" s="2014"/>
      <c r="O43" s="2021"/>
      <c r="P43" s="3615"/>
      <c r="Q43" s="1505" t="str">
        <f t="shared" si="11"/>
        <v>内部装修维护情况</v>
      </c>
      <c r="R43" s="1506" t="s">
        <v>8</v>
      </c>
      <c r="S43" s="1507">
        <f t="shared" si="12"/>
        <v>100</v>
      </c>
      <c r="T43" s="1506" t="s">
        <v>8</v>
      </c>
      <c r="U43" s="1507">
        <f t="shared" si="13"/>
        <v>100</v>
      </c>
      <c r="V43" s="1506" t="s">
        <v>8</v>
      </c>
      <c r="W43" s="1507">
        <f t="shared" si="14"/>
        <v>100</v>
      </c>
      <c r="X43" s="1500"/>
      <c r="Y43" s="3615"/>
      <c r="Z43" s="1508" t="str">
        <f t="shared" si="15"/>
        <v>内部装修维护情况</v>
      </c>
      <c r="AA43" s="1509">
        <f t="shared" si="3"/>
        <v>1</v>
      </c>
      <c r="AB43" s="1509">
        <f t="shared" si="4"/>
        <v>1</v>
      </c>
      <c r="AC43" s="1509">
        <f t="shared" si="5"/>
        <v>1</v>
      </c>
    </row>
    <row r="44" spans="1:29" s="1201" customFormat="1" ht="15" hidden="1">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5"/>
      <c r="M44" s="2016"/>
      <c r="N44" s="2016"/>
      <c r="O44" s="2017"/>
      <c r="P44" s="3615"/>
      <c r="Q44" s="1132">
        <f t="shared" si="11"/>
        <v>111</v>
      </c>
      <c r="R44" s="1501" t="s">
        <v>8</v>
      </c>
      <c r="S44" s="1502">
        <f t="shared" si="12"/>
        <v>100</v>
      </c>
      <c r="T44" s="1501" t="s">
        <v>8</v>
      </c>
      <c r="U44" s="1502">
        <f t="shared" si="13"/>
        <v>100</v>
      </c>
      <c r="V44" s="1501" t="s">
        <v>8</v>
      </c>
      <c r="W44" s="1502">
        <f t="shared" si="14"/>
        <v>100</v>
      </c>
      <c r="X44" s="1503"/>
      <c r="Y44" s="3615"/>
      <c r="Z44" s="1131">
        <f t="shared" si="15"/>
        <v>111</v>
      </c>
      <c r="AA44" s="1504">
        <f t="shared" si="3"/>
        <v>1</v>
      </c>
      <c r="AB44" s="1504">
        <f t="shared" si="4"/>
        <v>1</v>
      </c>
      <c r="AC44" s="1504">
        <f t="shared" si="5"/>
        <v>1</v>
      </c>
    </row>
    <row r="45" spans="1:29" ht="15" hidden="1">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2"/>
      <c r="M45" s="2014"/>
      <c r="N45" s="2014"/>
      <c r="O45" s="2021"/>
      <c r="P45" s="3615"/>
      <c r="Q45" s="1505">
        <f t="shared" si="11"/>
        <v>111</v>
      </c>
      <c r="R45" s="1506" t="s">
        <v>8</v>
      </c>
      <c r="S45" s="1507">
        <f t="shared" si="12"/>
        <v>100</v>
      </c>
      <c r="T45" s="1506" t="s">
        <v>8</v>
      </c>
      <c r="U45" s="1507">
        <f t="shared" si="13"/>
        <v>100</v>
      </c>
      <c r="V45" s="1506" t="s">
        <v>8</v>
      </c>
      <c r="W45" s="1507">
        <f t="shared" si="14"/>
        <v>100</v>
      </c>
      <c r="X45" s="1500"/>
      <c r="Y45" s="3615"/>
      <c r="Z45" s="1508">
        <f t="shared" si="15"/>
        <v>111</v>
      </c>
      <c r="AA45" s="1509">
        <f t="shared" si="3"/>
        <v>1</v>
      </c>
      <c r="AB45" s="1509">
        <f t="shared" si="4"/>
        <v>1</v>
      </c>
      <c r="AC45" s="1509">
        <f t="shared" si="5"/>
        <v>1</v>
      </c>
    </row>
    <row r="46" spans="1:29" ht="15.75" hidden="1"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2"/>
      <c r="M46" s="2014"/>
      <c r="N46" s="2014"/>
      <c r="O46" s="2021"/>
      <c r="P46" s="3695"/>
      <c r="Q46" s="1505">
        <f t="shared" si="11"/>
        <v>111</v>
      </c>
      <c r="R46" s="1506" t="s">
        <v>8</v>
      </c>
      <c r="S46" s="1507">
        <f t="shared" si="12"/>
        <v>100</v>
      </c>
      <c r="T46" s="1506" t="s">
        <v>8</v>
      </c>
      <c r="U46" s="1507">
        <f t="shared" si="13"/>
        <v>100</v>
      </c>
      <c r="V46" s="1506" t="s">
        <v>8</v>
      </c>
      <c r="W46" s="1507">
        <f t="shared" si="14"/>
        <v>100</v>
      </c>
      <c r="X46" s="1500"/>
      <c r="Y46" s="3695"/>
      <c r="Z46" s="1508">
        <f t="shared" si="15"/>
        <v>111</v>
      </c>
      <c r="AA46" s="1509">
        <f t="shared" si="3"/>
        <v>1</v>
      </c>
      <c r="AB46" s="1509">
        <f t="shared" si="4"/>
        <v>1</v>
      </c>
      <c r="AC46" s="1509">
        <f t="shared" si="5"/>
        <v>1</v>
      </c>
    </row>
    <row r="47" spans="1:29" ht="15">
      <c r="A47" s="599" t="s">
        <v>728</v>
      </c>
      <c r="B47" s="874"/>
      <c r="C47" s="2468" t="s">
        <v>1</v>
      </c>
      <c r="D47" s="2469"/>
      <c r="E47" s="2470">
        <v>5</v>
      </c>
      <c r="F47" s="2471"/>
      <c r="G47" s="2472">
        <v>4.5</v>
      </c>
      <c r="H47" s="2473"/>
      <c r="I47" s="2470">
        <v>5.7</v>
      </c>
      <c r="J47" s="2473"/>
      <c r="K47" s="1539"/>
      <c r="L47" s="2024"/>
      <c r="M47" s="2025"/>
      <c r="N47" s="2014"/>
      <c r="O47" s="2025"/>
      <c r="P47" s="3578" t="str">
        <f>A47</f>
        <v>成交单价（元/平方米）</v>
      </c>
      <c r="Q47" s="3578"/>
      <c r="R47" s="3694">
        <f>E47</f>
        <v>5</v>
      </c>
      <c r="S47" s="3694"/>
      <c r="T47" s="3694">
        <f>G47</f>
        <v>4.5</v>
      </c>
      <c r="U47" s="3694"/>
      <c r="V47" s="3694">
        <f>I47</f>
        <v>5.7</v>
      </c>
      <c r="W47" s="3694"/>
      <c r="X47" s="1495"/>
      <c r="Y47" s="1514"/>
      <c r="Z47" s="1495"/>
      <c r="AA47" s="1495"/>
      <c r="AB47" s="1495"/>
      <c r="AC47" s="1495"/>
    </row>
    <row r="48" spans="1:29" ht="26.25" thickBot="1">
      <c r="A48" s="607" t="s">
        <v>2738</v>
      </c>
      <c r="B48" s="875"/>
      <c r="C48" s="2474">
        <f>R49</f>
        <v>5.3</v>
      </c>
      <c r="D48" s="3012" t="s">
        <v>2963</v>
      </c>
      <c r="E48" s="2475">
        <f>R48</f>
        <v>5.3</v>
      </c>
      <c r="F48" s="3013"/>
      <c r="G48" s="2474">
        <f>T48</f>
        <v>5.0999999999999996</v>
      </c>
      <c r="H48" s="3013"/>
      <c r="I48" s="2475">
        <f>V48</f>
        <v>5.4</v>
      </c>
      <c r="J48" s="3013"/>
      <c r="K48" s="3021">
        <f>F48+H48+J48</f>
        <v>0</v>
      </c>
      <c r="L48" s="2024"/>
      <c r="M48" s="2025"/>
      <c r="N48" s="2014"/>
      <c r="O48" s="2025"/>
      <c r="P48" s="3578" t="str">
        <f>A48</f>
        <v>比较价格（元/平方米）</v>
      </c>
      <c r="Q48" s="3578"/>
      <c r="R48" s="3694">
        <f>IF(F1="售价",ROUND(PRODUCT(R47,AA7:AA46),0),ROUND(PRODUCT(R47,AA7:AA46),1))</f>
        <v>5.3</v>
      </c>
      <c r="S48" s="3694"/>
      <c r="T48" s="3694">
        <f>IF(F1="售价",ROUND(PRODUCT(T47,AB7:AB46),0),ROUND(PRODUCT(T47,AB7:AB46),1))</f>
        <v>5.0999999999999996</v>
      </c>
      <c r="U48" s="3694"/>
      <c r="V48" s="3694">
        <f>IF(F1="售价",ROUND(PRODUCT(V47,AC7:AC46),0),ROUND(PRODUCT(V47,AC7:AC46),1))</f>
        <v>5.4</v>
      </c>
      <c r="W48" s="3694"/>
      <c r="X48" s="1495"/>
      <c r="Y48" s="1495"/>
      <c r="Z48" s="1495"/>
      <c r="AA48" s="1495"/>
      <c r="AB48" s="1495"/>
      <c r="AC48" s="1495"/>
    </row>
    <row r="49" spans="1:29" ht="15.75" thickBot="1">
      <c r="A49" s="611" t="s">
        <v>2898</v>
      </c>
      <c r="B49" s="612"/>
      <c r="C49" s="2476">
        <f>R49</f>
        <v>5.3</v>
      </c>
      <c r="D49" s="2476"/>
      <c r="E49" s="2476"/>
      <c r="F49" s="2476"/>
      <c r="G49" s="2476"/>
      <c r="H49" s="2476"/>
      <c r="I49" s="2476"/>
      <c r="J49" s="2476"/>
      <c r="K49" s="1540"/>
      <c r="L49" s="2024"/>
      <c r="M49" s="2025"/>
      <c r="N49" s="2014"/>
      <c r="O49" s="2025"/>
      <c r="P49" s="3575" t="str">
        <f>A49</f>
        <v>估价对象XX用房的比较价格（楼面单价，元/平方米）</v>
      </c>
      <c r="Q49" s="3576"/>
      <c r="R49" s="3693">
        <f>IF(F1="售价",ROUND(IF(D48="简单平均",AVERAGE(R48:V48),R48*F48+T48*H48+V48*J48),0),ROUND(IF(D48="简单平均",AVERAGE(R48:V48),R48*F48+T48*H48+V48*J48),1))</f>
        <v>5.3</v>
      </c>
      <c r="S49" s="3693"/>
      <c r="T49" s="3693"/>
      <c r="U49" s="3693"/>
      <c r="V49" s="3693"/>
      <c r="W49" s="3693"/>
      <c r="X49" s="1495"/>
      <c r="Y49" s="1495"/>
      <c r="Z49" s="1495"/>
      <c r="AA49" s="1495"/>
      <c r="AB49" s="1495"/>
      <c r="AC49" s="1495"/>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4" t="s">
        <v>549</v>
      </c>
      <c r="D52" s="615"/>
      <c r="E52" s="616">
        <f>IF(E47&lt;E48,E48/E47-1,E47/E48-1)</f>
        <v>6.0000000000000053E-2</v>
      </c>
      <c r="F52" s="617" t="str">
        <f>IF(OR(E52&gt;=0.3,E52&lt;=-0.3),"超过30%","")</f>
        <v/>
      </c>
      <c r="G52" s="616">
        <f>IF(G47&lt;G48,G48/G47-1,G47/G48-1)</f>
        <v>0.1333333333333333</v>
      </c>
      <c r="H52" s="617" t="str">
        <f>IF(OR(G52&gt;=0.3,G52&lt;=-0.3),"超过30%","")</f>
        <v/>
      </c>
      <c r="I52" s="616">
        <f>IF(I47&lt;I48,I48/I47-1,I47/I48-1)</f>
        <v>5.555555555555558E-2</v>
      </c>
      <c r="J52" s="617"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550</v>
      </c>
      <c r="D53" s="618"/>
      <c r="E53" s="616">
        <f>IF(E48&lt;G48,G48/E48-1,E48/G48-1)</f>
        <v>3.9215686274509887E-2</v>
      </c>
      <c r="F53" s="617" t="str">
        <f>IF(OR(E53&gt;=0.2,E53&lt;=-0.2),"超过20%","")</f>
        <v/>
      </c>
      <c r="G53" s="616">
        <f>IF(G48&lt;I48,I48/G48-1,G48/I48-1)</f>
        <v>5.8823529411764941E-2</v>
      </c>
      <c r="H53" s="617" t="str">
        <f>IF(OR(G53&gt;=0.2,G53&lt;=-0.2),"超过20%","")</f>
        <v/>
      </c>
      <c r="I53" s="616">
        <f>IF(I48&lt;E48,E48/I48-1,I48/E48-1)</f>
        <v>1.8867924528301883E-2</v>
      </c>
      <c r="J53" s="617"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4" t="s">
        <v>551</v>
      </c>
      <c r="D54" s="618"/>
      <c r="E54" s="616">
        <f>IF(E47&lt;G47,G47/E47-1,E47/G47-1)</f>
        <v>0.11111111111111116</v>
      </c>
      <c r="F54" s="617" t="str">
        <f>IF(OR(E54&gt;=0.3,E54&lt;=-0.3),"超过30%","")</f>
        <v/>
      </c>
      <c r="G54" s="616">
        <f>IF(G47&lt;I47,I47/G47-1,G47/I47-1)</f>
        <v>0.26666666666666661</v>
      </c>
      <c r="H54" s="617" t="str">
        <f>IF(OR(G54&gt;=0.3,G54&lt;=-0.3),"超过30%","")</f>
        <v/>
      </c>
      <c r="I54" s="616">
        <f>IF(I47&lt;E47,E47/I47-1,I47/E47-1)</f>
        <v>0.14000000000000012</v>
      </c>
      <c r="J54" s="617"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27">
      <c r="A58" s="635" t="s">
        <v>521</v>
      </c>
      <c r="B58" s="636"/>
      <c r="C58" s="2517" t="str">
        <f>YEAR(C7)&amp;"-"&amp;MONTH(C7)</f>
        <v>2021-8</v>
      </c>
      <c r="D58" s="2519">
        <f>EDATE(C58,-1)</f>
        <v>44378</v>
      </c>
      <c r="E58" s="2519">
        <f t="shared" ref="E58:O58" si="16">EDATE(D58,-1)</f>
        <v>44348</v>
      </c>
      <c r="F58" s="2519">
        <f t="shared" si="16"/>
        <v>44317</v>
      </c>
      <c r="G58" s="2519">
        <f t="shared" si="16"/>
        <v>44287</v>
      </c>
      <c r="H58" s="2519">
        <f t="shared" si="16"/>
        <v>44256</v>
      </c>
      <c r="I58" s="2519">
        <f t="shared" si="16"/>
        <v>44228</v>
      </c>
      <c r="J58" s="2519">
        <f t="shared" si="16"/>
        <v>44197</v>
      </c>
      <c r="K58" s="2519">
        <f t="shared" si="16"/>
        <v>44166</v>
      </c>
      <c r="L58" s="2519">
        <f t="shared" si="16"/>
        <v>44136</v>
      </c>
      <c r="M58" s="2519">
        <f t="shared" si="16"/>
        <v>44105</v>
      </c>
      <c r="N58" s="2519">
        <f t="shared" si="16"/>
        <v>44075</v>
      </c>
      <c r="O58" s="2519">
        <f t="shared" si="16"/>
        <v>44044</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c r="L59" s="640"/>
      <c r="M59" s="641"/>
      <c r="N59" s="640"/>
      <c r="O59" s="642"/>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27">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186"/>
    </row>
    <row r="63" spans="1:29" ht="27">
      <c r="A63" s="654" t="s">
        <v>569</v>
      </c>
      <c r="B63" s="655" t="s">
        <v>526</v>
      </c>
      <c r="C63" s="694" t="str">
        <f>C9</f>
        <v>商业</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3345" t="s">
        <v>3091</v>
      </c>
      <c r="D64" s="661"/>
      <c r="E64" s="661"/>
      <c r="F64" s="661"/>
      <c r="G64" s="661"/>
      <c r="H64" s="661"/>
      <c r="I64" s="661"/>
      <c r="J64" s="661"/>
      <c r="K64" s="661"/>
      <c r="L64" s="661"/>
      <c r="M64" s="662"/>
      <c r="N64" s="2045"/>
      <c r="O64" s="2045"/>
      <c r="P64" s="2044"/>
      <c r="Q64" s="2037"/>
      <c r="R64" s="2025"/>
      <c r="S64" s="2025"/>
      <c r="T64" s="2025"/>
      <c r="U64" s="2025"/>
      <c r="V64" s="2025"/>
      <c r="W64" s="2025"/>
      <c r="X64" s="2025"/>
      <c r="Y64" s="2025"/>
      <c r="Z64" s="2025"/>
      <c r="AA64" s="2025"/>
      <c r="AB64" s="2025"/>
      <c r="AC64" s="2025"/>
    </row>
    <row r="65" spans="1:29" ht="42"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t="s">
        <v>14</v>
      </c>
      <c r="D66" s="669" t="s">
        <v>15</v>
      </c>
      <c r="E66" s="669" t="s">
        <v>16</v>
      </c>
      <c r="F66" s="669">
        <v>100</v>
      </c>
      <c r="G66" s="669">
        <f>F66-$K10</f>
        <v>98</v>
      </c>
      <c r="H66" s="669">
        <f>G66-$K10</f>
        <v>96</v>
      </c>
      <c r="I66" s="669">
        <f>H66-$K10</f>
        <v>94</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43.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1</v>
      </c>
      <c r="D68" s="533">
        <v>2</v>
      </c>
      <c r="E68" s="533">
        <v>3</v>
      </c>
      <c r="F68" s="533">
        <v>4</v>
      </c>
      <c r="G68" s="533">
        <v>5</v>
      </c>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61"/>
      <c r="E73" s="661"/>
      <c r="F73" s="661"/>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ht="27">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98</v>
      </c>
      <c r="E77" s="669">
        <f>D77-$K15</f>
        <v>96</v>
      </c>
      <c r="F77" s="669">
        <f>E77-$K15</f>
        <v>94</v>
      </c>
      <c r="G77" s="669">
        <f>F77-$K15</f>
        <v>92</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98</v>
      </c>
      <c r="E79" s="669">
        <f>D79-$K17</f>
        <v>96</v>
      </c>
      <c r="F79" s="669">
        <f>E79-$K17</f>
        <v>94</v>
      </c>
      <c r="G79" s="669">
        <f>F79-$K17</f>
        <v>92</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98</v>
      </c>
      <c r="E81" s="669">
        <f>D81-$K19</f>
        <v>96</v>
      </c>
      <c r="F81" s="669">
        <f>E81-$K19</f>
        <v>94</v>
      </c>
      <c r="G81" s="669">
        <f>F81-$K19</f>
        <v>92</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98</v>
      </c>
      <c r="E83" s="669">
        <f>D83-$K21</f>
        <v>96</v>
      </c>
      <c r="F83" s="669">
        <f>E83-$K21</f>
        <v>94</v>
      </c>
      <c r="G83" s="669">
        <f>F83-$K21</f>
        <v>92</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98</v>
      </c>
      <c r="E85" s="669">
        <f>D85-$K23</f>
        <v>96</v>
      </c>
      <c r="F85" s="669">
        <f>E85-$K23</f>
        <v>94</v>
      </c>
      <c r="G85" s="669">
        <f>F85-$K23</f>
        <v>92</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41.25" thickTop="1">
      <c r="A86" s="699"/>
      <c r="B86" s="663" t="s">
        <v>763</v>
      </c>
      <c r="C86" s="3344" t="s">
        <v>3084</v>
      </c>
      <c r="D86" s="3344" t="s">
        <v>3085</v>
      </c>
      <c r="E86" s="3344" t="s">
        <v>3087</v>
      </c>
      <c r="F86" s="3344" t="s">
        <v>3089</v>
      </c>
      <c r="G86" s="3344" t="s">
        <v>3090</v>
      </c>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 t="shared" ref="D87:M87" si="19">C87-$K25</f>
        <v>98</v>
      </c>
      <c r="E87" s="669">
        <f t="shared" si="19"/>
        <v>96</v>
      </c>
      <c r="F87" s="669">
        <f t="shared" si="19"/>
        <v>94</v>
      </c>
      <c r="G87" s="669">
        <f t="shared" si="19"/>
        <v>92</v>
      </c>
      <c r="H87" s="669">
        <f t="shared" si="19"/>
        <v>90</v>
      </c>
      <c r="I87" s="669">
        <f t="shared" si="19"/>
        <v>88</v>
      </c>
      <c r="J87" s="669">
        <f t="shared" si="19"/>
        <v>86</v>
      </c>
      <c r="K87" s="669">
        <f t="shared" si="19"/>
        <v>84</v>
      </c>
      <c r="L87" s="669">
        <f t="shared" si="19"/>
        <v>82</v>
      </c>
      <c r="M87" s="669">
        <f t="shared" si="19"/>
        <v>80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tr">
        <f>B26</f>
        <v>平面位置/可视性</v>
      </c>
      <c r="C88" s="3344" t="s">
        <v>3092</v>
      </c>
      <c r="D88" s="3344" t="s">
        <v>3096</v>
      </c>
      <c r="E88" s="3344" t="s">
        <v>3097</v>
      </c>
      <c r="F88" s="3348" t="s">
        <v>3098</v>
      </c>
      <c r="G88" s="3344" t="s">
        <v>3099</v>
      </c>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人流量</v>
      </c>
      <c r="C90" s="3344" t="s">
        <v>3094</v>
      </c>
      <c r="D90" s="3344" t="s">
        <v>3101</v>
      </c>
      <c r="E90" s="3344" t="s">
        <v>3097</v>
      </c>
      <c r="F90" s="3344" t="s">
        <v>3102</v>
      </c>
      <c r="G90" s="3344" t="s">
        <v>3103</v>
      </c>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702">
        <v>100</v>
      </c>
      <c r="D91" s="669">
        <f>C91-$K27</f>
        <v>98</v>
      </c>
      <c r="E91" s="669">
        <f t="shared" ref="E91:M91" si="21">D91-$K27</f>
        <v>96</v>
      </c>
      <c r="F91" s="669">
        <f t="shared" si="21"/>
        <v>94</v>
      </c>
      <c r="G91" s="669">
        <f t="shared" si="21"/>
        <v>92</v>
      </c>
      <c r="H91" s="669">
        <f t="shared" si="21"/>
        <v>90</v>
      </c>
      <c r="I91" s="669">
        <f t="shared" si="21"/>
        <v>88</v>
      </c>
      <c r="J91" s="669">
        <f t="shared" si="21"/>
        <v>86</v>
      </c>
      <c r="K91" s="669">
        <f t="shared" si="21"/>
        <v>84</v>
      </c>
      <c r="L91" s="669">
        <f t="shared" si="21"/>
        <v>82</v>
      </c>
      <c r="M91" s="669">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59"/>
      <c r="B92" s="663" t="str">
        <f>B28</f>
        <v>楼层</v>
      </c>
      <c r="C92" s="678" t="s">
        <v>3104</v>
      </c>
      <c r="D92" s="678"/>
      <c r="E92" s="678"/>
      <c r="F92" s="678"/>
      <c r="G92" s="678"/>
      <c r="H92" s="678"/>
      <c r="I92" s="678"/>
      <c r="J92" s="678"/>
      <c r="K92" s="678"/>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1">
        <v>100</v>
      </c>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61"/>
      <c r="E95" s="661"/>
      <c r="F95" s="661"/>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82"/>
      <c r="D97" s="661"/>
      <c r="E97" s="661"/>
      <c r="F97" s="661"/>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678"/>
      <c r="D98" s="678"/>
      <c r="E98" s="678"/>
      <c r="F98" s="678"/>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690"/>
      <c r="D99" s="690"/>
      <c r="E99" s="690"/>
      <c r="F99" s="690"/>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ht="40.5">
      <c r="A100" s="654" t="s">
        <v>543</v>
      </c>
      <c r="B100" s="655" t="s">
        <v>764</v>
      </c>
      <c r="C100" s="3349" t="s">
        <v>3140</v>
      </c>
      <c r="D100" s="3349" t="s">
        <v>3107</v>
      </c>
      <c r="E100" s="3349" t="s">
        <v>3109</v>
      </c>
      <c r="F100" s="3349" t="s">
        <v>3110</v>
      </c>
      <c r="G100" s="3349" t="s">
        <v>3112</v>
      </c>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98</v>
      </c>
      <c r="E101" s="669">
        <f t="shared" si="22"/>
        <v>96</v>
      </c>
      <c r="F101" s="669">
        <f t="shared" si="22"/>
        <v>94</v>
      </c>
      <c r="G101" s="669">
        <f t="shared" si="22"/>
        <v>92</v>
      </c>
      <c r="H101" s="669">
        <f t="shared" si="22"/>
        <v>90</v>
      </c>
      <c r="I101" s="669">
        <f t="shared" si="22"/>
        <v>88</v>
      </c>
      <c r="J101" s="669">
        <f t="shared" si="22"/>
        <v>86</v>
      </c>
      <c r="K101" s="669">
        <f t="shared" si="22"/>
        <v>84</v>
      </c>
      <c r="L101" s="669">
        <f t="shared" si="22"/>
        <v>82</v>
      </c>
      <c r="M101" s="670">
        <f t="shared" si="22"/>
        <v>80</v>
      </c>
      <c r="N101" s="2045"/>
      <c r="O101" s="2045"/>
      <c r="P101" s="2044"/>
      <c r="Q101" s="2037"/>
      <c r="R101" s="2025"/>
      <c r="S101" s="2025"/>
      <c r="T101" s="2025"/>
      <c r="U101" s="2025"/>
      <c r="V101" s="2025"/>
      <c r="W101" s="2025"/>
      <c r="X101" s="2025"/>
      <c r="Y101" s="2025"/>
      <c r="Z101" s="2025"/>
      <c r="AA101" s="2025"/>
      <c r="AB101" s="2025"/>
      <c r="AC101" s="2025"/>
    </row>
    <row r="102" spans="1:29" ht="57.75" thickTop="1">
      <c r="A102" s="659"/>
      <c r="B102" s="663" t="s">
        <v>740</v>
      </c>
      <c r="C102" s="698" t="str">
        <f>C103&amp;"(含)"&amp;"-"&amp;D103</f>
        <v>0(含)-10000</v>
      </c>
      <c r="D102" s="698" t="str">
        <f t="shared" ref="D102:L102" si="23">D103&amp;"(含)"&amp;"-"&amp;E103</f>
        <v>10000(含)-50000</v>
      </c>
      <c r="E102" s="698" t="str">
        <f t="shared" si="23"/>
        <v>50000(含)-100000</v>
      </c>
      <c r="F102" s="698" t="str">
        <f t="shared" si="23"/>
        <v>100000(含)-200000</v>
      </c>
      <c r="G102" s="698" t="str">
        <f t="shared" si="23"/>
        <v>200000(含)-300000</v>
      </c>
      <c r="H102" s="698" t="str">
        <f t="shared" si="23"/>
        <v>300000(含)-400000</v>
      </c>
      <c r="I102" s="698" t="str">
        <f t="shared" si="23"/>
        <v>400000(含)-</v>
      </c>
      <c r="J102" s="698" t="str">
        <f t="shared" si="23"/>
        <v>(含)-</v>
      </c>
      <c r="K102" s="698" t="str">
        <f t="shared" si="23"/>
        <v>(含)-</v>
      </c>
      <c r="L102" s="698" t="str">
        <f t="shared" si="23"/>
        <v>(含)-</v>
      </c>
      <c r="M102" s="701"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v>0</v>
      </c>
      <c r="D103" s="720">
        <v>10000</v>
      </c>
      <c r="E103" s="720">
        <v>50000</v>
      </c>
      <c r="F103" s="720">
        <v>100000</v>
      </c>
      <c r="G103" s="720">
        <v>200000</v>
      </c>
      <c r="H103" s="720">
        <v>300000</v>
      </c>
      <c r="I103" s="720">
        <v>400000</v>
      </c>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v>100</v>
      </c>
      <c r="D104" s="661">
        <v>98</v>
      </c>
      <c r="E104" s="661">
        <v>96</v>
      </c>
      <c r="F104" s="661">
        <v>94</v>
      </c>
      <c r="G104" s="661">
        <v>92</v>
      </c>
      <c r="H104" s="661">
        <v>90</v>
      </c>
      <c r="I104" s="661">
        <v>88</v>
      </c>
      <c r="J104" s="661"/>
      <c r="K104" s="661"/>
      <c r="L104" s="661"/>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3344" t="s">
        <v>3113</v>
      </c>
      <c r="D105" s="3344" t="s">
        <v>3114</v>
      </c>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27.75" thickTop="1">
      <c r="A107" s="725"/>
      <c r="B107" s="663" t="s">
        <v>743</v>
      </c>
      <c r="C107" s="3344" t="s">
        <v>3116</v>
      </c>
      <c r="D107" s="3344" t="s">
        <v>3118</v>
      </c>
      <c r="E107" s="3344" t="s">
        <v>3119</v>
      </c>
      <c r="F107" s="3350" t="s">
        <v>3121</v>
      </c>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29.2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c r="A110" s="725"/>
      <c r="B110" s="671"/>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702">
        <v>100</v>
      </c>
      <c r="D111" s="669">
        <f>C111+$K36</f>
        <v>101</v>
      </c>
      <c r="E111" s="669">
        <f t="shared" ref="E111:M111" si="26">D111+$K36</f>
        <v>102</v>
      </c>
      <c r="F111" s="669">
        <f t="shared" si="26"/>
        <v>103</v>
      </c>
      <c r="G111" s="669">
        <f t="shared" si="26"/>
        <v>104</v>
      </c>
      <c r="H111" s="669">
        <f t="shared" si="26"/>
        <v>105</v>
      </c>
      <c r="I111" s="669">
        <f t="shared" si="26"/>
        <v>106</v>
      </c>
      <c r="J111" s="669">
        <f t="shared" si="26"/>
        <v>107</v>
      </c>
      <c r="K111" s="669">
        <f t="shared" si="26"/>
        <v>108</v>
      </c>
      <c r="L111" s="669">
        <f t="shared" si="26"/>
        <v>109</v>
      </c>
      <c r="M111" s="669">
        <f t="shared" si="26"/>
        <v>110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8"/>
      <c r="B112" s="1808" t="s">
        <v>2535</v>
      </c>
      <c r="C112" s="3344" t="s">
        <v>3122</v>
      </c>
      <c r="D112" s="3344" t="s">
        <v>3123</v>
      </c>
      <c r="E112" s="3344" t="s">
        <v>3124</v>
      </c>
      <c r="F112" s="3344" t="s">
        <v>3125</v>
      </c>
      <c r="G112" s="3344" t="s">
        <v>3126</v>
      </c>
      <c r="H112" s="708"/>
      <c r="I112" s="708"/>
      <c r="J112" s="708"/>
      <c r="K112" s="709"/>
      <c r="L112" s="710"/>
      <c r="M112" s="711"/>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669">
        <v>100</v>
      </c>
      <c r="D113" s="669">
        <f>C113-$K37</f>
        <v>99</v>
      </c>
      <c r="E113" s="669">
        <f t="shared" ref="E113:M113" si="27">D113-$K37</f>
        <v>98</v>
      </c>
      <c r="F113" s="669">
        <f t="shared" si="27"/>
        <v>97</v>
      </c>
      <c r="G113" s="669">
        <f t="shared" si="27"/>
        <v>96</v>
      </c>
      <c r="H113" s="669">
        <f t="shared" si="27"/>
        <v>95</v>
      </c>
      <c r="I113" s="669">
        <f t="shared" si="27"/>
        <v>94</v>
      </c>
      <c r="J113" s="669">
        <f t="shared" si="27"/>
        <v>93</v>
      </c>
      <c r="K113" s="669">
        <f t="shared" si="27"/>
        <v>92</v>
      </c>
      <c r="L113" s="669">
        <f t="shared" si="27"/>
        <v>91</v>
      </c>
      <c r="M113" s="669">
        <f t="shared" si="27"/>
        <v>90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765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5"/>
      <c r="O115" s="2045"/>
      <c r="P115" s="2044"/>
      <c r="Q115" s="2037"/>
      <c r="R115" s="2025"/>
      <c r="S115" s="2025"/>
      <c r="T115" s="2025"/>
      <c r="U115" s="2025"/>
      <c r="V115" s="2025"/>
      <c r="W115" s="2025"/>
      <c r="X115" s="2025"/>
      <c r="Y115" s="2025"/>
      <c r="Z115" s="2025"/>
      <c r="AA115" s="2025"/>
      <c r="AB115" s="2025"/>
      <c r="AC115" s="2025"/>
    </row>
    <row r="116" spans="1:29" ht="27.75" thickTop="1">
      <c r="A116" s="725"/>
      <c r="B116" s="663" t="s">
        <v>766</v>
      </c>
      <c r="C116" s="3344" t="s">
        <v>3127</v>
      </c>
      <c r="D116" s="3344" t="s">
        <v>3129</v>
      </c>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767</v>
      </c>
      <c r="C118" s="896"/>
      <c r="D118" s="896"/>
      <c r="E118" s="896"/>
      <c r="F118" s="896"/>
      <c r="G118" s="896"/>
      <c r="H118" s="679"/>
      <c r="I118" s="679"/>
      <c r="J118" s="679"/>
      <c r="K118" s="679"/>
      <c r="L118" s="680"/>
      <c r="M118" s="68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8"/>
      <c r="B120" s="663" t="s">
        <v>768</v>
      </c>
      <c r="C120" s="3350" t="s">
        <v>3096</v>
      </c>
      <c r="D120" s="708"/>
      <c r="E120" s="708"/>
      <c r="F120" s="708"/>
      <c r="G120" s="679"/>
      <c r="H120" s="679"/>
      <c r="I120" s="679"/>
      <c r="J120" s="679"/>
      <c r="K120" s="679"/>
      <c r="L120" s="680"/>
      <c r="M120" s="681"/>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6"/>
      <c r="O121" s="2046"/>
      <c r="P121" s="2047"/>
      <c r="Q121" s="2048"/>
      <c r="R121" s="2049"/>
      <c r="S121" s="2049"/>
      <c r="T121" s="2049"/>
      <c r="U121" s="2049"/>
      <c r="V121" s="2049"/>
      <c r="W121" s="2049"/>
      <c r="X121" s="2049"/>
      <c r="Y121" s="2049"/>
      <c r="Z121" s="2049"/>
      <c r="AA121" s="2049"/>
      <c r="AB121" s="2049"/>
      <c r="AC121" s="2049"/>
    </row>
    <row r="122" spans="1:29" ht="27.75" thickTop="1">
      <c r="A122" s="725"/>
      <c r="B122" s="663" t="s">
        <v>747</v>
      </c>
      <c r="C122" s="3344" t="s">
        <v>3116</v>
      </c>
      <c r="D122" s="3344" t="s">
        <v>3118</v>
      </c>
      <c r="E122" s="3344" t="s">
        <v>3119</v>
      </c>
      <c r="F122" s="3350" t="s">
        <v>3121</v>
      </c>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30">C123-$K42</f>
        <v>99</v>
      </c>
      <c r="E123" s="669">
        <f t="shared" si="30"/>
        <v>98</v>
      </c>
      <c r="F123" s="669">
        <f t="shared" si="30"/>
        <v>97</v>
      </c>
      <c r="G123" s="669">
        <f t="shared" si="30"/>
        <v>96</v>
      </c>
      <c r="H123" s="669">
        <f t="shared" si="30"/>
        <v>95</v>
      </c>
      <c r="I123" s="669">
        <f t="shared" si="30"/>
        <v>94</v>
      </c>
      <c r="J123" s="669">
        <f t="shared" si="30"/>
        <v>93</v>
      </c>
      <c r="K123" s="669">
        <f t="shared" si="30"/>
        <v>92</v>
      </c>
      <c r="L123" s="669">
        <f t="shared" si="30"/>
        <v>91</v>
      </c>
      <c r="M123" s="670">
        <f t="shared" si="30"/>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61"/>
      <c r="E129" s="661"/>
      <c r="F129" s="661"/>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9" priority="21" stopIfTrue="1" operator="containsText" text="超过">
      <formula>NOT(ISERROR(SEARCH("超过",F52)))</formula>
    </cfRule>
  </conditionalFormatting>
  <conditionalFormatting sqref="H54">
    <cfRule type="containsText" dxfId="108" priority="19" stopIfTrue="1" operator="containsText" text="超过">
      <formula>NOT(ISERROR(SEARCH("超过",H54)))</formula>
    </cfRule>
  </conditionalFormatting>
  <conditionalFormatting sqref="F54">
    <cfRule type="containsText" dxfId="107" priority="18" stopIfTrue="1" operator="containsText" text="超过">
      <formula>NOT(ISERROR(SEARCH("超过",F54)))</formula>
    </cfRule>
  </conditionalFormatting>
  <conditionalFormatting sqref="F53 H53">
    <cfRule type="containsText" dxfId="106" priority="17" stopIfTrue="1" operator="containsText" text="超过">
      <formula>NOT(ISERROR(SEARCH("超过",F53)))</formula>
    </cfRule>
  </conditionalFormatting>
  <conditionalFormatting sqref="E52">
    <cfRule type="expression" dxfId="105" priority="16" stopIfTrue="1">
      <formula>$F$52="超过30%"</formula>
    </cfRule>
  </conditionalFormatting>
  <conditionalFormatting sqref="E53">
    <cfRule type="expression" dxfId="104" priority="15" stopIfTrue="1">
      <formula>$F$53="超过20%"</formula>
    </cfRule>
  </conditionalFormatting>
  <conditionalFormatting sqref="E54">
    <cfRule type="expression" dxfId="103" priority="14" stopIfTrue="1">
      <formula>$F$54="超过30%"</formula>
    </cfRule>
  </conditionalFormatting>
  <conditionalFormatting sqref="G54">
    <cfRule type="expression" dxfId="102" priority="13" stopIfTrue="1">
      <formula>$H$54="超过30%"</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J52">
    <cfRule type="containsText" dxfId="99" priority="10" stopIfTrue="1" operator="containsText" text="超过">
      <formula>NOT(ISERROR(SEARCH("超过",J52)))</formula>
    </cfRule>
  </conditionalFormatting>
  <conditionalFormatting sqref="J54">
    <cfRule type="containsText" dxfId="98" priority="9" stopIfTrue="1" operator="containsText" text="超过">
      <formula>NOT(ISERROR(SEARCH("超过",J54)))</formula>
    </cfRule>
  </conditionalFormatting>
  <conditionalFormatting sqref="J53">
    <cfRule type="containsText" dxfId="97" priority="8" stopIfTrue="1" operator="containsText" text="超过">
      <formula>NOT(ISERROR(SEARCH("超过",J53)))</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F48">
    <cfRule type="expression" dxfId="93" priority="4">
      <formula>$D$48="简单平均"</formula>
    </cfRule>
  </conditionalFormatting>
  <conditionalFormatting sqref="H48">
    <cfRule type="expression" dxfId="92" priority="3">
      <formula>$D$48="简单平均"</formula>
    </cfRule>
  </conditionalFormatting>
  <conditionalFormatting sqref="J48">
    <cfRule type="expression" dxfId="91" priority="2">
      <formula>$D$48="简单平均"</formula>
    </cfRule>
  </conditionalFormatting>
  <conditionalFormatting sqref="F7:F46 H7:H46 J7:J46">
    <cfRule type="cellIs" dxfId="90"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63" fitToHeight="0" orientation="portrait" r:id="rId1"/>
  <legacyDrawing r:id="rId2"/>
</worksheet>
</file>

<file path=xl/worksheets/sheet41.xml><?xml version="1.0" encoding="utf-8"?>
<worksheet xmlns="http://schemas.openxmlformats.org/spreadsheetml/2006/main" xmlns:r="http://schemas.openxmlformats.org/officeDocument/2006/relationships">
  <sheetPr>
    <tabColor rgb="FF92D050"/>
  </sheetPr>
  <dimension ref="H1:H32"/>
  <sheetViews>
    <sheetView topLeftCell="A2" workbookViewId="0">
      <selection activeCell="N64" sqref="N64"/>
    </sheetView>
  </sheetViews>
  <sheetFormatPr defaultRowHeight="13.5"/>
  <sheetData>
    <row r="1" spans="8:8">
      <c r="H1" s="3244" t="s">
        <v>3082</v>
      </c>
    </row>
    <row r="16" spans="8:8">
      <c r="H16" s="3244" t="s">
        <v>3133</v>
      </c>
    </row>
    <row r="32" spans="8:8">
      <c r="H32" s="3244" t="s">
        <v>3135</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sheetPr codeName="Sheet24">
    <tabColor rgb="FF92D050"/>
    <pageSetUpPr fitToPage="1"/>
  </sheetPr>
  <dimension ref="A1:AC853"/>
  <sheetViews>
    <sheetView view="pageBreakPreview" topLeftCell="A23" zoomScale="70" zoomScaleNormal="60" zoomScaleSheetLayoutView="70" workbookViewId="0">
      <selection activeCell="C26" sqref="C2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6.5" style="1289" customWidth="1"/>
    <col min="6" max="6" width="12.25" style="1289" customWidth="1"/>
    <col min="7" max="7" width="18.875" style="1289" customWidth="1"/>
    <col min="8" max="8" width="12.25" style="1289" customWidth="1"/>
    <col min="9" max="9" width="17"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769</v>
      </c>
      <c r="C1" s="496" t="s">
        <v>712</v>
      </c>
      <c r="D1" s="836"/>
      <c r="E1" s="498"/>
      <c r="F1" s="2522"/>
      <c r="G1" s="1530" t="s">
        <v>713</v>
      </c>
      <c r="H1" s="498"/>
      <c r="I1" s="498"/>
      <c r="J1" s="498"/>
      <c r="K1" s="499"/>
      <c r="L1" s="3206"/>
      <c r="M1" s="3207"/>
      <c r="N1" s="3207"/>
      <c r="O1" s="3207"/>
      <c r="P1" s="3270"/>
      <c r="Q1" s="2012"/>
      <c r="R1" s="2012"/>
      <c r="S1" s="2012"/>
      <c r="T1" s="2012"/>
      <c r="U1" s="2012"/>
      <c r="V1" s="2012"/>
      <c r="W1" s="2012"/>
      <c r="X1" s="2012"/>
      <c r="Y1" s="2012"/>
      <c r="Z1" s="2012"/>
      <c r="AA1" s="2012"/>
      <c r="AB1" s="2012"/>
      <c r="AC1" s="3208"/>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3270"/>
      <c r="Q2" s="2012"/>
      <c r="R2" s="2012"/>
      <c r="S2" s="2012"/>
      <c r="T2" s="2012"/>
      <c r="U2" s="2012"/>
      <c r="V2" s="2012"/>
      <c r="W2" s="2012"/>
      <c r="X2" s="2012"/>
      <c r="Y2" s="2012"/>
      <c r="Z2" s="2012"/>
      <c r="AA2" s="2012"/>
      <c r="AB2" s="2012"/>
      <c r="AC2" s="3208"/>
    </row>
    <row r="3" spans="1:29" s="1288" customFormat="1" ht="28.5" customHeight="1" thickBot="1">
      <c r="A3" s="501" t="s">
        <v>511</v>
      </c>
      <c r="B3" s="502">
        <f>C50</f>
        <v>3.7</v>
      </c>
      <c r="C3" s="839" t="s">
        <v>714</v>
      </c>
      <c r="D3" s="838">
        <f>SUMIF('数据-汇总表'!$C19:$C33,D1,'数据-汇总表'!$E19:$E33)</f>
        <v>0</v>
      </c>
      <c r="E3" s="1942"/>
      <c r="F3" s="2009"/>
      <c r="G3" s="2008"/>
      <c r="H3" s="2008"/>
      <c r="I3" s="2008"/>
      <c r="J3" s="2008"/>
      <c r="K3" s="2010"/>
      <c r="L3" s="2011"/>
      <c r="M3" s="2012"/>
      <c r="N3" s="2012"/>
      <c r="O3" s="2012"/>
      <c r="P3" s="3270"/>
      <c r="Q3" s="2012"/>
      <c r="R3" s="2012"/>
      <c r="S3" s="2012"/>
      <c r="T3" s="2012"/>
      <c r="U3" s="2012"/>
      <c r="V3" s="2012"/>
      <c r="W3" s="2012"/>
      <c r="X3" s="2012"/>
      <c r="Y3" s="2012"/>
      <c r="Z3" s="2012"/>
      <c r="AA3" s="2012"/>
      <c r="AB3" s="2012"/>
      <c r="AC3" s="3208"/>
    </row>
    <row r="4" spans="1:29" ht="15">
      <c r="A4" s="504" t="s">
        <v>513</v>
      </c>
      <c r="B4" s="505"/>
      <c r="C4" s="3584" t="s">
        <v>514</v>
      </c>
      <c r="D4" s="3585"/>
      <c r="E4" s="3618" t="s">
        <v>515</v>
      </c>
      <c r="F4" s="3619"/>
      <c r="G4" s="3584" t="s">
        <v>516</v>
      </c>
      <c r="H4" s="3585"/>
      <c r="I4" s="3584" t="s">
        <v>517</v>
      </c>
      <c r="J4" s="3585"/>
      <c r="K4" s="506" t="s">
        <v>518</v>
      </c>
      <c r="L4" s="2013"/>
      <c r="M4" s="2014"/>
      <c r="N4" s="2014"/>
      <c r="O4" s="2014"/>
      <c r="P4" s="3700" t="s">
        <v>519</v>
      </c>
      <c r="Q4" s="3587"/>
      <c r="R4" s="3592" t="s">
        <v>515</v>
      </c>
      <c r="S4" s="3593"/>
      <c r="T4" s="3592" t="s">
        <v>516</v>
      </c>
      <c r="U4" s="3593"/>
      <c r="V4" s="3579" t="s">
        <v>517</v>
      </c>
      <c r="W4" s="3579"/>
      <c r="X4" s="1500"/>
      <c r="Y4" s="3592" t="s">
        <v>519</v>
      </c>
      <c r="Z4" s="3593"/>
      <c r="AA4" s="3581" t="s">
        <v>515</v>
      </c>
      <c r="AB4" s="3581" t="s">
        <v>516</v>
      </c>
      <c r="AC4" s="3581" t="s">
        <v>517</v>
      </c>
    </row>
    <row r="5" spans="1:29" ht="15">
      <c r="A5" s="507"/>
      <c r="B5" s="508"/>
      <c r="C5" s="3600" t="s">
        <v>2892</v>
      </c>
      <c r="D5" s="3601"/>
      <c r="E5" s="3620" t="str">
        <f>办公案例截图及地图!A1</f>
        <v>绿地中央广场</v>
      </c>
      <c r="F5" s="3621"/>
      <c r="G5" s="3698" t="s">
        <v>3170</v>
      </c>
      <c r="H5" s="3601"/>
      <c r="I5" s="3698" t="s">
        <v>3171</v>
      </c>
      <c r="J5" s="3601"/>
      <c r="K5" s="506"/>
      <c r="L5" s="2013"/>
      <c r="M5" s="2014"/>
      <c r="N5" s="2014"/>
      <c r="O5" s="2014"/>
      <c r="P5" s="3701"/>
      <c r="Q5" s="3589"/>
      <c r="R5" s="3594"/>
      <c r="S5" s="3595"/>
      <c r="T5" s="3594"/>
      <c r="U5" s="3595"/>
      <c r="V5" s="3579"/>
      <c r="W5" s="3579"/>
      <c r="X5" s="1500"/>
      <c r="Y5" s="3594"/>
      <c r="Z5" s="3595"/>
      <c r="AA5" s="3582"/>
      <c r="AB5" s="3582"/>
      <c r="AC5" s="3582"/>
    </row>
    <row r="6" spans="1:29" ht="15.75" thickBot="1">
      <c r="A6" s="509"/>
      <c r="B6" s="510"/>
      <c r="C6" s="3598" t="s">
        <v>2896</v>
      </c>
      <c r="D6" s="3599"/>
      <c r="E6" s="3616" t="s">
        <v>2896</v>
      </c>
      <c r="F6" s="3617"/>
      <c r="G6" s="3598" t="s">
        <v>2896</v>
      </c>
      <c r="H6" s="3599"/>
      <c r="I6" s="3598" t="s">
        <v>2896</v>
      </c>
      <c r="J6" s="3599"/>
      <c r="K6" s="506" t="s">
        <v>520</v>
      </c>
      <c r="L6" s="2013"/>
      <c r="M6" s="2014"/>
      <c r="N6" s="2014"/>
      <c r="O6" s="2014"/>
      <c r="P6" s="3702"/>
      <c r="Q6" s="3591"/>
      <c r="R6" s="3594"/>
      <c r="S6" s="3595"/>
      <c r="T6" s="3596"/>
      <c r="U6" s="3597"/>
      <c r="V6" s="3579"/>
      <c r="W6" s="3579"/>
      <c r="X6" s="1500"/>
      <c r="Y6" s="3596"/>
      <c r="Z6" s="3597"/>
      <c r="AA6" s="3583"/>
      <c r="AB6" s="3583"/>
      <c r="AC6" s="3583"/>
    </row>
    <row r="7" spans="1:29" s="1201" customFormat="1" ht="15.75" thickBot="1">
      <c r="A7" s="2627"/>
      <c r="B7" s="2634" t="s">
        <v>521</v>
      </c>
      <c r="C7" s="511">
        <f>'数据-取费表'!B2</f>
        <v>44424</v>
      </c>
      <c r="D7" s="512">
        <v>100</v>
      </c>
      <c r="E7" s="513">
        <v>44287</v>
      </c>
      <c r="F7" s="514">
        <f>SUMIF(59:59,YEAR(E7)&amp;"-"&amp;MONTH(E7),60:60)</f>
        <v>100</v>
      </c>
      <c r="G7" s="513">
        <v>44306</v>
      </c>
      <c r="H7" s="512">
        <f>SUMIF(59:59,YEAR(G7)&amp;"-"&amp;MONTH(G7),60:60)</f>
        <v>100</v>
      </c>
      <c r="I7" s="513">
        <v>44317</v>
      </c>
      <c r="J7" s="512">
        <f>SUMIF(59:59,YEAR(I7)&amp;"-"&amp;MONTH(I7),60:60)</f>
        <v>100</v>
      </c>
      <c r="K7" s="516"/>
      <c r="L7" s="2015"/>
      <c r="M7" s="2016"/>
      <c r="N7" s="2016"/>
      <c r="O7" s="2016"/>
      <c r="P7" s="3611" t="s">
        <v>522</v>
      </c>
      <c r="Q7" s="3611"/>
      <c r="R7" s="1501" t="s">
        <v>8</v>
      </c>
      <c r="S7" s="1502">
        <f t="shared" ref="S7:S15" si="0">F7</f>
        <v>100</v>
      </c>
      <c r="T7" s="1501" t="s">
        <v>8</v>
      </c>
      <c r="U7" s="1502">
        <f t="shared" ref="U7:U15" si="1">H7</f>
        <v>100</v>
      </c>
      <c r="V7" s="1501" t="s">
        <v>8</v>
      </c>
      <c r="W7" s="1502">
        <f t="shared" ref="W7:W15" si="2">J7</f>
        <v>100</v>
      </c>
      <c r="X7" s="1503"/>
      <c r="Y7" s="3609" t="s">
        <v>522</v>
      </c>
      <c r="Z7" s="3610"/>
      <c r="AA7" s="1504">
        <f>D7/F7</f>
        <v>1</v>
      </c>
      <c r="AB7" s="1504">
        <f>D7/H7</f>
        <v>1</v>
      </c>
      <c r="AC7" s="1504">
        <f>D7/J7</f>
        <v>1</v>
      </c>
    </row>
    <row r="8" spans="1:29" s="1201" customFormat="1" ht="15.75" thickBot="1">
      <c r="A8" s="2628"/>
      <c r="B8" s="2635" t="s">
        <v>523</v>
      </c>
      <c r="C8" s="517" t="s">
        <v>568</v>
      </c>
      <c r="D8" s="512">
        <v>100</v>
      </c>
      <c r="E8" s="517" t="s">
        <v>3070</v>
      </c>
      <c r="F8" s="514">
        <f>SUMIF(62:62,E8,63:63)-SUMIF(62:62,C8,63:63)+100</f>
        <v>100</v>
      </c>
      <c r="G8" s="517" t="s">
        <v>3070</v>
      </c>
      <c r="H8" s="512">
        <f>SUMIF(62:62,G8,63:63)-SUMIF(62:62,C8,63:63)+100</f>
        <v>100</v>
      </c>
      <c r="I8" s="517" t="s">
        <v>3070</v>
      </c>
      <c r="J8" s="512">
        <f>SUMIF(62:62,I8,63:63)-SUMIF(62:62,C8,63:63)+100</f>
        <v>100</v>
      </c>
      <c r="K8" s="516"/>
      <c r="L8" s="2015"/>
      <c r="M8" s="2016"/>
      <c r="N8" s="2016"/>
      <c r="O8" s="2016"/>
      <c r="P8" s="3611" t="s">
        <v>525</v>
      </c>
      <c r="Q8" s="3610"/>
      <c r="R8" s="1501" t="s">
        <v>8</v>
      </c>
      <c r="S8" s="1502">
        <f t="shared" si="0"/>
        <v>100</v>
      </c>
      <c r="T8" s="1501" t="s">
        <v>8</v>
      </c>
      <c r="U8" s="1502">
        <f t="shared" si="1"/>
        <v>100</v>
      </c>
      <c r="V8" s="1501" t="s">
        <v>8</v>
      </c>
      <c r="W8" s="1502">
        <f t="shared" si="2"/>
        <v>100</v>
      </c>
      <c r="X8" s="1503"/>
      <c r="Y8" s="3609" t="s">
        <v>525</v>
      </c>
      <c r="Z8" s="3610"/>
      <c r="AA8" s="1504">
        <f t="shared" ref="AA8:AA47" si="3">D8/F8</f>
        <v>1</v>
      </c>
      <c r="AB8" s="1504">
        <f t="shared" ref="AB8:AB47" si="4">D8/H8</f>
        <v>1</v>
      </c>
      <c r="AC8" s="1504">
        <f t="shared" ref="AC8:AC47" si="5">D8/J8</f>
        <v>1</v>
      </c>
    </row>
    <row r="9" spans="1:29" s="1201" customFormat="1" ht="15">
      <c r="A9" s="2629"/>
      <c r="B9" s="2636" t="s">
        <v>2734</v>
      </c>
      <c r="C9" s="3334" t="s">
        <v>3136</v>
      </c>
      <c r="D9" s="250">
        <v>100</v>
      </c>
      <c r="E9" s="847" t="s">
        <v>1665</v>
      </c>
      <c r="F9" s="250">
        <f>SUMIF(64:64,E9,65:65)-SUMIF(64:64,C9,65:65)+100</f>
        <v>100</v>
      </c>
      <c r="G9" s="845" t="s">
        <v>1665</v>
      </c>
      <c r="H9" s="250">
        <f>SUMIF(64:64,G9,65:65)-SUMIF(64:64,C9,65:65)+100</f>
        <v>100</v>
      </c>
      <c r="I9" s="845" t="s">
        <v>1665</v>
      </c>
      <c r="J9" s="250">
        <f>SUMIF(64:64,I9,65:65)-SUMIF(64:64,C9,65:65)+100</f>
        <v>100</v>
      </c>
      <c r="K9" s="516"/>
      <c r="L9" s="2015"/>
      <c r="M9" s="2016"/>
      <c r="N9" s="2016"/>
      <c r="O9" s="2016"/>
      <c r="P9" s="3578" t="s">
        <v>527</v>
      </c>
      <c r="Q9" s="1132" t="str">
        <f t="shared" ref="Q9:Q15" si="6">B9</f>
        <v>用途</v>
      </c>
      <c r="R9" s="1501" t="s">
        <v>8</v>
      </c>
      <c r="S9" s="1502">
        <f t="shared" si="0"/>
        <v>100</v>
      </c>
      <c r="T9" s="1501" t="s">
        <v>8</v>
      </c>
      <c r="U9" s="1502">
        <f t="shared" si="1"/>
        <v>100</v>
      </c>
      <c r="V9" s="1501" t="s">
        <v>8</v>
      </c>
      <c r="W9" s="1502">
        <f t="shared" si="2"/>
        <v>100</v>
      </c>
      <c r="X9" s="1503"/>
      <c r="Y9" s="3524" t="s">
        <v>528</v>
      </c>
      <c r="Z9" s="1131" t="str">
        <f t="shared" ref="Z9:Z15" si="7">Q9</f>
        <v>用途</v>
      </c>
      <c r="AA9" s="1504">
        <f t="shared" si="3"/>
        <v>1</v>
      </c>
      <c r="AB9" s="1504">
        <f t="shared" si="4"/>
        <v>1</v>
      </c>
      <c r="AC9" s="1504">
        <f t="shared" si="5"/>
        <v>1</v>
      </c>
    </row>
    <row r="10" spans="1:29" s="1290" customFormat="1" ht="27">
      <c r="A10" s="2630"/>
      <c r="B10" s="2635" t="s">
        <v>2735</v>
      </c>
      <c r="C10" s="848" t="s">
        <v>3137</v>
      </c>
      <c r="D10" s="251">
        <v>100</v>
      </c>
      <c r="E10" s="848" t="s">
        <v>3137</v>
      </c>
      <c r="F10" s="251">
        <f>SUMIF(66:66,E10,67:67)-SUMIF(66:66,C10,67:67)+100</f>
        <v>100</v>
      </c>
      <c r="G10" s="849" t="s">
        <v>3137</v>
      </c>
      <c r="H10" s="251">
        <f>SUMIF(66:66,G10,67:67)-SUMIF(66:66,C10,67:67)+100</f>
        <v>100</v>
      </c>
      <c r="I10" s="848" t="s">
        <v>3137</v>
      </c>
      <c r="J10" s="251">
        <f>SUMIF(66:66,I10,67:67)-SUMIF(66:66,C10,67:67)+100</f>
        <v>100</v>
      </c>
      <c r="K10" s="576"/>
      <c r="L10" s="2018"/>
      <c r="M10" s="2057"/>
      <c r="N10" s="2057"/>
      <c r="O10" s="2057"/>
      <c r="P10" s="3578"/>
      <c r="Q10" s="1132" t="str">
        <f t="shared" si="6"/>
        <v>土地使用年限（年）</v>
      </c>
      <c r="R10" s="1501" t="s">
        <v>8</v>
      </c>
      <c r="S10" s="1502">
        <f t="shared" si="0"/>
        <v>100</v>
      </c>
      <c r="T10" s="1501" t="s">
        <v>8</v>
      </c>
      <c r="U10" s="1502">
        <f t="shared" si="1"/>
        <v>100</v>
      </c>
      <c r="V10" s="1501" t="s">
        <v>8</v>
      </c>
      <c r="W10" s="1502">
        <f t="shared" si="2"/>
        <v>100</v>
      </c>
      <c r="X10" s="1503"/>
      <c r="Y10" s="3524"/>
      <c r="Z10" s="1131" t="str">
        <f t="shared" si="7"/>
        <v>土地使用年限（年）</v>
      </c>
      <c r="AA10" s="1504">
        <f t="shared" si="3"/>
        <v>1</v>
      </c>
      <c r="AB10" s="1504">
        <f t="shared" si="4"/>
        <v>1</v>
      </c>
      <c r="AC10" s="1504">
        <f t="shared" si="5"/>
        <v>1</v>
      </c>
    </row>
    <row r="11" spans="1:29" ht="15">
      <c r="A11" s="2631"/>
      <c r="B11" s="2635" t="s">
        <v>2736</v>
      </c>
      <c r="C11" s="525"/>
      <c r="D11" s="251">
        <v>100</v>
      </c>
      <c r="E11" s="525">
        <v>1</v>
      </c>
      <c r="F11" s="251">
        <f>LOOKUP(E11,69:69,70:70)-LOOKUP(C11,69:69,70:70)+100</f>
        <v>100</v>
      </c>
      <c r="G11" s="526">
        <v>1</v>
      </c>
      <c r="H11" s="251">
        <f>LOOKUP(G11,69:69,70:70)-LOOKUP(C11,69:69,70:70)+100</f>
        <v>100</v>
      </c>
      <c r="I11" s="525">
        <v>1</v>
      </c>
      <c r="J11" s="251">
        <f>LOOKUP(I11,69:69,70:70)-LOOKUP(C11,69:69,70:70)+100</f>
        <v>100</v>
      </c>
      <c r="K11" s="576"/>
      <c r="L11" s="2020"/>
      <c r="M11" s="2014"/>
      <c r="N11" s="2014"/>
      <c r="O11" s="2014"/>
      <c r="P11" s="3578"/>
      <c r="Q11" s="1132" t="str">
        <f t="shared" si="6"/>
        <v>容积率</v>
      </c>
      <c r="R11" s="1501" t="s">
        <v>8</v>
      </c>
      <c r="S11" s="1502">
        <f t="shared" si="0"/>
        <v>100</v>
      </c>
      <c r="T11" s="1501" t="s">
        <v>8</v>
      </c>
      <c r="U11" s="1502">
        <f t="shared" si="1"/>
        <v>100</v>
      </c>
      <c r="V11" s="1501" t="s">
        <v>8</v>
      </c>
      <c r="W11" s="1502">
        <f t="shared" si="2"/>
        <v>100</v>
      </c>
      <c r="X11" s="1503"/>
      <c r="Y11" s="3524"/>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251">
        <f>SUMIF(71:71,E12,72:72)-SUMIF(71:71,C12,72:72)+100</f>
        <v>100</v>
      </c>
      <c r="G12" s="897"/>
      <c r="H12" s="251">
        <f>SUMIF(71:71,G12,72:72)-SUMIF(71:71,C12,72:72)+100</f>
        <v>100</v>
      </c>
      <c r="I12" s="520"/>
      <c r="J12" s="251">
        <f>SUMIF(71:71,I12,72:72)-SUMIF(71:71,C12,72:72)+100</f>
        <v>100</v>
      </c>
      <c r="K12" s="573"/>
      <c r="L12" s="2015"/>
      <c r="M12" s="2016"/>
      <c r="N12" s="2016"/>
      <c r="O12" s="2016"/>
      <c r="P12" s="3578"/>
      <c r="Q12" s="1132">
        <f t="shared" si="6"/>
        <v>111</v>
      </c>
      <c r="R12" s="1501" t="s">
        <v>8</v>
      </c>
      <c r="S12" s="1502">
        <f t="shared" si="0"/>
        <v>100</v>
      </c>
      <c r="T12" s="1501" t="s">
        <v>8</v>
      </c>
      <c r="U12" s="1502">
        <f t="shared" si="1"/>
        <v>100</v>
      </c>
      <c r="V12" s="1501" t="s">
        <v>8</v>
      </c>
      <c r="W12" s="1502">
        <f t="shared" si="2"/>
        <v>100</v>
      </c>
      <c r="X12" s="1503"/>
      <c r="Y12" s="3524"/>
      <c r="Z12" s="1131">
        <f t="shared" si="7"/>
        <v>111</v>
      </c>
      <c r="AA12" s="1504">
        <f>D12/F12</f>
        <v>1</v>
      </c>
      <c r="AB12" s="1504">
        <f>D12/H12</f>
        <v>1</v>
      </c>
      <c r="AC12" s="1504">
        <f>D12/J12</f>
        <v>1</v>
      </c>
    </row>
    <row r="13" spans="1:29" ht="15">
      <c r="A13" s="2632"/>
      <c r="B13" s="2638">
        <v>111</v>
      </c>
      <c r="C13" s="531"/>
      <c r="D13" s="532">
        <v>100</v>
      </c>
      <c r="E13" s="520"/>
      <c r="F13" s="251">
        <f>SUMIF(73:73,E13,74:74)-SUMIF(73:73,C13,74:74)+100</f>
        <v>100</v>
      </c>
      <c r="G13" s="897"/>
      <c r="H13" s="532">
        <f>SUMIF(73:73,G13,74:74)-SUMIF(73:73,C13,74:74)+100</f>
        <v>100</v>
      </c>
      <c r="I13" s="520"/>
      <c r="J13" s="532">
        <f>SUMIF(73:73,I13,74:74)-SUMIF(73:73,C13,74:74)+100</f>
        <v>100</v>
      </c>
      <c r="K13" s="573"/>
      <c r="L13" s="2022"/>
      <c r="M13" s="2014"/>
      <c r="N13" s="2014"/>
      <c r="O13" s="2014"/>
      <c r="P13" s="3578"/>
      <c r="Q13" s="1132">
        <f t="shared" si="6"/>
        <v>111</v>
      </c>
      <c r="R13" s="1501" t="s">
        <v>8</v>
      </c>
      <c r="S13" s="1502">
        <f t="shared" si="0"/>
        <v>100</v>
      </c>
      <c r="T13" s="1501" t="s">
        <v>8</v>
      </c>
      <c r="U13" s="1502">
        <f t="shared" si="1"/>
        <v>100</v>
      </c>
      <c r="V13" s="1501" t="s">
        <v>8</v>
      </c>
      <c r="W13" s="1502">
        <f t="shared" si="2"/>
        <v>100</v>
      </c>
      <c r="X13" s="1503"/>
      <c r="Y13" s="3524"/>
      <c r="Z13" s="1131">
        <f t="shared" si="7"/>
        <v>111</v>
      </c>
      <c r="AA13" s="1504">
        <f t="shared" si="3"/>
        <v>1</v>
      </c>
      <c r="AB13" s="1504">
        <f t="shared" si="4"/>
        <v>1</v>
      </c>
      <c r="AC13" s="1504">
        <f t="shared" si="5"/>
        <v>1</v>
      </c>
    </row>
    <row r="14" spans="1:29" ht="15.75" thickBot="1">
      <c r="A14" s="2633"/>
      <c r="B14" s="2639">
        <v>111</v>
      </c>
      <c r="C14" s="537"/>
      <c r="D14" s="538">
        <v>100</v>
      </c>
      <c r="E14" s="898"/>
      <c r="F14" s="538">
        <f>SUMIF(75:75,E14,76:76)-SUMIF(75:75,C14,76:76)+100</f>
        <v>100</v>
      </c>
      <c r="G14" s="897"/>
      <c r="H14" s="538">
        <f>SUMIF(75:75,G14,76:76)-SUMIF(75:75,C14,76:76)+100</f>
        <v>100</v>
      </c>
      <c r="I14" s="520"/>
      <c r="J14" s="538">
        <f>SUMIF(75:75,I14,76:76)-SUMIF(75:75,C14,76:76)+100</f>
        <v>100</v>
      </c>
      <c r="K14" s="573"/>
      <c r="L14" s="2022"/>
      <c r="M14" s="2014"/>
      <c r="N14" s="2014"/>
      <c r="O14" s="2014"/>
      <c r="P14" s="3578"/>
      <c r="Q14" s="1132">
        <f t="shared" si="6"/>
        <v>111</v>
      </c>
      <c r="R14" s="1501" t="s">
        <v>8</v>
      </c>
      <c r="S14" s="1502">
        <f t="shared" si="0"/>
        <v>100</v>
      </c>
      <c r="T14" s="1501" t="s">
        <v>8</v>
      </c>
      <c r="U14" s="1502">
        <f t="shared" si="1"/>
        <v>100</v>
      </c>
      <c r="V14" s="1501" t="s">
        <v>8</v>
      </c>
      <c r="W14" s="1502">
        <f t="shared" si="2"/>
        <v>100</v>
      </c>
      <c r="X14" s="1503"/>
      <c r="Y14" s="3524"/>
      <c r="Z14" s="1131">
        <f t="shared" si="7"/>
        <v>111</v>
      </c>
      <c r="AA14" s="1504">
        <f t="shared" si="3"/>
        <v>1</v>
      </c>
      <c r="AB14" s="1504">
        <f t="shared" si="4"/>
        <v>1</v>
      </c>
      <c r="AC14" s="1504">
        <f t="shared" si="5"/>
        <v>1</v>
      </c>
    </row>
    <row r="15" spans="1:29" ht="79.900000000000006" customHeight="1">
      <c r="A15" s="2625" t="s">
        <v>2732</v>
      </c>
      <c r="B15" s="539" t="s">
        <v>534</v>
      </c>
      <c r="C15" s="540" t="str">
        <f>估价对象房地状况!C5</f>
        <v>周边有京贸中心、东长安街写字楼、绿地中央广场（通州）、通州富力中心等多个办公楼项目，办公集聚程度较好。</v>
      </c>
      <c r="D15" s="541">
        <v>100</v>
      </c>
      <c r="E15" s="544"/>
      <c r="F15" s="541">
        <f>SUMIF(77:77,E16,78:78)-SUMIF(77:77,C16,78:78)+100</f>
        <v>102</v>
      </c>
      <c r="G15" s="542"/>
      <c r="H15" s="541">
        <f>SUMIF(77:77,G16,78:78)-SUMIF(77:77,C16,78:78)+100</f>
        <v>102</v>
      </c>
      <c r="I15" s="542"/>
      <c r="J15" s="541">
        <f>SUMIF(77:77,I16,78:78)-SUMIF(77:77,C16,78:78)+100</f>
        <v>102</v>
      </c>
      <c r="K15" s="885">
        <v>2</v>
      </c>
      <c r="L15" s="2022"/>
      <c r="M15" s="2014"/>
      <c r="N15" s="2014"/>
      <c r="O15" s="2014"/>
      <c r="P15" s="3612" t="s">
        <v>532</v>
      </c>
      <c r="Q15" s="1505" t="str">
        <f t="shared" si="6"/>
        <v>办公集聚程度</v>
      </c>
      <c r="R15" s="1506" t="s">
        <v>8</v>
      </c>
      <c r="S15" s="1507">
        <f t="shared" si="0"/>
        <v>102</v>
      </c>
      <c r="T15" s="1506" t="s">
        <v>8</v>
      </c>
      <c r="U15" s="1507">
        <f t="shared" si="1"/>
        <v>102</v>
      </c>
      <c r="V15" s="1506" t="s">
        <v>8</v>
      </c>
      <c r="W15" s="1507">
        <f t="shared" si="2"/>
        <v>102</v>
      </c>
      <c r="X15" s="1500"/>
      <c r="Y15" s="3612" t="s">
        <v>532</v>
      </c>
      <c r="Z15" s="1508" t="str">
        <f t="shared" si="7"/>
        <v>办公集聚程度</v>
      </c>
      <c r="AA15" s="1509">
        <f t="shared" si="3"/>
        <v>0.98039215686274506</v>
      </c>
      <c r="AB15" s="1509">
        <f t="shared" si="4"/>
        <v>0.98039215686274506</v>
      </c>
      <c r="AC15" s="1509">
        <f t="shared" si="5"/>
        <v>0.98039215686274506</v>
      </c>
    </row>
    <row r="16" spans="1:29" ht="15">
      <c r="A16" s="524"/>
      <c r="B16" s="545"/>
      <c r="C16" s="546" t="s">
        <v>3074</v>
      </c>
      <c r="D16" s="547"/>
      <c r="E16" s="568" t="s">
        <v>3075</v>
      </c>
      <c r="F16" s="547"/>
      <c r="G16" s="546" t="s">
        <v>3075</v>
      </c>
      <c r="H16" s="551"/>
      <c r="I16" s="568" t="s">
        <v>3075</v>
      </c>
      <c r="J16" s="547"/>
      <c r="K16" s="886"/>
      <c r="L16" s="2022"/>
      <c r="M16" s="2014"/>
      <c r="N16" s="2014"/>
      <c r="O16" s="2014"/>
      <c r="P16" s="3613"/>
      <c r="Q16" s="1505"/>
      <c r="R16" s="1506"/>
      <c r="S16" s="1507"/>
      <c r="T16" s="1506"/>
      <c r="U16" s="1507"/>
      <c r="V16" s="1506"/>
      <c r="W16" s="1507"/>
      <c r="X16" s="1500"/>
      <c r="Y16" s="3613"/>
      <c r="Z16" s="1508"/>
      <c r="AA16" s="1509">
        <v>1</v>
      </c>
      <c r="AB16" s="1509">
        <v>1</v>
      </c>
      <c r="AC16" s="1509">
        <v>1</v>
      </c>
    </row>
    <row r="17" spans="1:29" ht="87" customHeight="1">
      <c r="A17" s="524"/>
      <c r="B17" s="552" t="s">
        <v>294</v>
      </c>
      <c r="C17" s="3382" t="str">
        <f>估价对象房地状况!C6</f>
        <v>周边有通322路、342路、589路、667路、804路、808路、通19路、通41路、通62路等多条公交线路通过，距地铁6号线（北运河西站）约1公里，综合评价交通便捷度较好</v>
      </c>
      <c r="D17" s="3383">
        <v>100</v>
      </c>
      <c r="E17" s="3384"/>
      <c r="F17" s="3383">
        <f>SUMIF(79:79,E18,80:80)-SUMIF(79:79,C18,80:80)+100</f>
        <v>100</v>
      </c>
      <c r="G17" s="3385"/>
      <c r="H17" s="3386">
        <f>SUMIF(79:79,G18,80:80)-SUMIF(79:79,C18,80:80)+100</f>
        <v>100</v>
      </c>
      <c r="I17" s="3385"/>
      <c r="J17" s="3386">
        <f>SUMIF(79:79,I18,80:80)-SUMIF(79:79,C18,80:80)+100</f>
        <v>100</v>
      </c>
      <c r="K17" s="3387">
        <v>3</v>
      </c>
      <c r="L17" s="2022"/>
      <c r="M17" s="2014"/>
      <c r="N17" s="2014"/>
      <c r="O17" s="2014"/>
      <c r="P17" s="3613"/>
      <c r="Q17" s="1505" t="str">
        <f>B17</f>
        <v>交通便捷度</v>
      </c>
      <c r="R17" s="1506" t="s">
        <v>8</v>
      </c>
      <c r="S17" s="1507">
        <f>F17</f>
        <v>100</v>
      </c>
      <c r="T17" s="1506" t="s">
        <v>8</v>
      </c>
      <c r="U17" s="1507">
        <f>H17</f>
        <v>100</v>
      </c>
      <c r="V17" s="1506" t="s">
        <v>8</v>
      </c>
      <c r="W17" s="1507">
        <f>J17</f>
        <v>100</v>
      </c>
      <c r="X17" s="1500"/>
      <c r="Y17" s="3613"/>
      <c r="Z17" s="1508" t="str">
        <f>Q17</f>
        <v>交通便捷度</v>
      </c>
      <c r="AA17" s="1509">
        <f t="shared" si="3"/>
        <v>1</v>
      </c>
      <c r="AB17" s="1509">
        <f t="shared" si="4"/>
        <v>1</v>
      </c>
      <c r="AC17" s="1509">
        <f t="shared" si="5"/>
        <v>1</v>
      </c>
    </row>
    <row r="18" spans="1:29" ht="15">
      <c r="A18" s="524"/>
      <c r="B18" s="558"/>
      <c r="C18" s="559" t="s">
        <v>3075</v>
      </c>
      <c r="D18" s="551"/>
      <c r="E18" s="561" t="s">
        <v>3075</v>
      </c>
      <c r="F18" s="551"/>
      <c r="G18" s="560" t="s">
        <v>3075</v>
      </c>
      <c r="H18" s="547"/>
      <c r="I18" s="560" t="s">
        <v>3075</v>
      </c>
      <c r="J18" s="547"/>
      <c r="K18" s="886"/>
      <c r="L18" s="2022"/>
      <c r="M18" s="2014"/>
      <c r="N18" s="2014"/>
      <c r="O18" s="2014"/>
      <c r="P18" s="3613"/>
      <c r="Q18" s="1505"/>
      <c r="R18" s="1506"/>
      <c r="S18" s="1507"/>
      <c r="T18" s="1506"/>
      <c r="U18" s="1507"/>
      <c r="V18" s="1506"/>
      <c r="W18" s="1507"/>
      <c r="X18" s="1500"/>
      <c r="Y18" s="3613"/>
      <c r="Z18" s="1508"/>
      <c r="AA18" s="1509">
        <v>1</v>
      </c>
      <c r="AB18" s="1509">
        <v>1</v>
      </c>
      <c r="AC18" s="1509">
        <v>1</v>
      </c>
    </row>
    <row r="19" spans="1:29" ht="102.6" customHeight="1">
      <c r="A19" s="524"/>
      <c r="B19" s="2445" t="s">
        <v>2525</v>
      </c>
      <c r="C19" s="5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4"/>
      <c r="F19" s="557">
        <f>SUMIF(81:81,E20,82:82)-SUMIF(81:81,C20,82:82)+100</f>
        <v>102</v>
      </c>
      <c r="G19" s="562"/>
      <c r="H19" s="551">
        <f>SUMIF(81:81,G20,82:82)-SUMIF(81:81,C20,82:82)+100</f>
        <v>102</v>
      </c>
      <c r="I19" s="562"/>
      <c r="J19" s="551">
        <f>SUMIF(81:81,I20,82:82)-SUMIF(81:81,C20,82:82)+100</f>
        <v>102</v>
      </c>
      <c r="K19" s="885">
        <v>2</v>
      </c>
      <c r="L19" s="2022"/>
      <c r="M19" s="2014"/>
      <c r="N19" s="2014"/>
      <c r="O19" s="2014"/>
      <c r="P19" s="3613"/>
      <c r="Q19" s="1505" t="str">
        <f>B19</f>
        <v>公共配套设施</v>
      </c>
      <c r="R19" s="1506" t="s">
        <v>8</v>
      </c>
      <c r="S19" s="1507">
        <f>F19</f>
        <v>102</v>
      </c>
      <c r="T19" s="1506" t="s">
        <v>8</v>
      </c>
      <c r="U19" s="1507">
        <f>H19</f>
        <v>102</v>
      </c>
      <c r="V19" s="1506" t="s">
        <v>8</v>
      </c>
      <c r="W19" s="1507">
        <f>J19</f>
        <v>102</v>
      </c>
      <c r="X19" s="1500"/>
      <c r="Y19" s="3613"/>
      <c r="Z19" s="1508" t="str">
        <f>Q19</f>
        <v>公共配套设施</v>
      </c>
      <c r="AA19" s="1509">
        <f t="shared" si="3"/>
        <v>0.98039215686274506</v>
      </c>
      <c r="AB19" s="1509">
        <f t="shared" si="4"/>
        <v>0.98039215686274506</v>
      </c>
      <c r="AC19" s="1509">
        <f t="shared" si="5"/>
        <v>0.98039215686274506</v>
      </c>
    </row>
    <row r="20" spans="1:29" ht="15">
      <c r="A20" s="524"/>
      <c r="B20" s="558"/>
      <c r="C20" s="546" t="s">
        <v>3074</v>
      </c>
      <c r="D20" s="547"/>
      <c r="E20" s="550" t="s">
        <v>3075</v>
      </c>
      <c r="F20" s="547"/>
      <c r="G20" s="548" t="s">
        <v>3075</v>
      </c>
      <c r="H20" s="547"/>
      <c r="I20" s="548" t="s">
        <v>3075</v>
      </c>
      <c r="J20" s="547"/>
      <c r="K20" s="886"/>
      <c r="L20" s="2022"/>
      <c r="M20" s="2014"/>
      <c r="N20" s="2014"/>
      <c r="O20" s="2014"/>
      <c r="P20" s="3613"/>
      <c r="Q20" s="1505"/>
      <c r="R20" s="1506"/>
      <c r="S20" s="1507"/>
      <c r="T20" s="1506"/>
      <c r="U20" s="1507"/>
      <c r="V20" s="1506"/>
      <c r="W20" s="1507"/>
      <c r="X20" s="1500"/>
      <c r="Y20" s="3613"/>
      <c r="Z20" s="1508"/>
      <c r="AA20" s="1509">
        <v>1</v>
      </c>
      <c r="AB20" s="1509">
        <v>1</v>
      </c>
      <c r="AC20" s="1509">
        <v>1</v>
      </c>
    </row>
    <row r="21" spans="1:29" ht="54" customHeight="1">
      <c r="A21" s="524"/>
      <c r="B21" s="2433" t="s">
        <v>2537</v>
      </c>
      <c r="C21" s="565" t="str">
        <f>估价对象房地状况!C8</f>
        <v>估价对象所在区域内基础设施配套条件达到“七通”（即通路、通上水、通下水、通电、通讯、通燃气、通热力），能够保证工作、生产需要，基础设施配套完善度好。</v>
      </c>
      <c r="D21" s="557">
        <v>100</v>
      </c>
      <c r="E21" s="564"/>
      <c r="F21" s="557">
        <f>SUMIF(83:83,E22,84:84)-SUMIF(83:83,C22,84:84)+100</f>
        <v>100</v>
      </c>
      <c r="G21" s="562"/>
      <c r="H21" s="557">
        <f>SUMIF(83:83,G22,84:84)-SUMIF(83:83,C22,84:84)+100</f>
        <v>100</v>
      </c>
      <c r="I21" s="562"/>
      <c r="J21" s="557">
        <f>SUMIF(83:83,I22,84:84)-SUMIF(83:83,C22,84:84)+100</f>
        <v>100</v>
      </c>
      <c r="K21" s="885">
        <v>2</v>
      </c>
      <c r="L21" s="2022"/>
      <c r="M21" s="2014"/>
      <c r="N21" s="2014"/>
      <c r="O21" s="2014"/>
      <c r="P21" s="3613"/>
      <c r="Q21" s="2427" t="str">
        <f>B21</f>
        <v>基础设施水平</v>
      </c>
      <c r="R21" s="1506" t="s">
        <v>8</v>
      </c>
      <c r="S21" s="1507">
        <f>F21</f>
        <v>100</v>
      </c>
      <c r="T21" s="1506" t="s">
        <v>8</v>
      </c>
      <c r="U21" s="1507">
        <f>H21</f>
        <v>100</v>
      </c>
      <c r="V21" s="1506" t="s">
        <v>8</v>
      </c>
      <c r="W21" s="1507">
        <f>J21</f>
        <v>100</v>
      </c>
      <c r="X21" s="2429"/>
      <c r="Y21" s="3613"/>
      <c r="Z21" s="2428" t="str">
        <f>Q21</f>
        <v>基础设施水平</v>
      </c>
      <c r="AA21" s="1509">
        <f t="shared" ref="AA21" si="8">D21/F21</f>
        <v>1</v>
      </c>
      <c r="AB21" s="1509">
        <f t="shared" ref="AB21" si="9">D21/H21</f>
        <v>1</v>
      </c>
      <c r="AC21" s="1509">
        <f t="shared" ref="AC21" si="10">D21/J21</f>
        <v>1</v>
      </c>
    </row>
    <row r="22" spans="1:29" ht="15">
      <c r="A22" s="524"/>
      <c r="B22" s="570"/>
      <c r="C22" s="559" t="s">
        <v>3174</v>
      </c>
      <c r="D22" s="547"/>
      <c r="E22" s="568" t="s">
        <v>3174</v>
      </c>
      <c r="F22" s="547"/>
      <c r="G22" s="546" t="s">
        <v>3174</v>
      </c>
      <c r="H22" s="547"/>
      <c r="I22" s="546" t="s">
        <v>3174</v>
      </c>
      <c r="J22" s="547"/>
      <c r="K22" s="2444"/>
      <c r="L22" s="2022"/>
      <c r="M22" s="2014"/>
      <c r="N22" s="2014"/>
      <c r="O22" s="2014"/>
      <c r="P22" s="3613"/>
      <c r="Q22" s="2427"/>
      <c r="R22" s="1506"/>
      <c r="S22" s="1507"/>
      <c r="T22" s="1506"/>
      <c r="U22" s="1507"/>
      <c r="V22" s="1506"/>
      <c r="W22" s="1507"/>
      <c r="X22" s="2429"/>
      <c r="Y22" s="3613"/>
      <c r="Z22" s="2428"/>
      <c r="AA22" s="1509">
        <v>1</v>
      </c>
      <c r="AB22" s="1509">
        <v>1</v>
      </c>
      <c r="AC22" s="1509">
        <v>1</v>
      </c>
    </row>
    <row r="23" spans="1:29" ht="63" customHeight="1">
      <c r="A23" s="524"/>
      <c r="B23" s="552" t="s">
        <v>770</v>
      </c>
      <c r="C23" s="5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6"/>
      <c r="F23" s="551">
        <f>SUMIF(85:85,E24,86:86)-SUMIF(85:85,C24,86:86)+100</f>
        <v>98</v>
      </c>
      <c r="G23" s="554"/>
      <c r="H23" s="551">
        <f>SUMIF(85:85,G24,86:86)-SUMIF(85:85,C24,86:86)+100</f>
        <v>98</v>
      </c>
      <c r="I23" s="554"/>
      <c r="J23" s="551">
        <f>SUMIF(85:85,I24,86:86)-SUMIF(85:85,C24,86:86)+100</f>
        <v>98</v>
      </c>
      <c r="K23" s="885">
        <v>2</v>
      </c>
      <c r="L23" s="2022"/>
      <c r="M23" s="2014"/>
      <c r="N23" s="2014"/>
      <c r="O23" s="2014"/>
      <c r="P23" s="3613"/>
      <c r="Q23" s="1505" t="str">
        <f>B23</f>
        <v>环境质量</v>
      </c>
      <c r="R23" s="1506" t="s">
        <v>8</v>
      </c>
      <c r="S23" s="1507">
        <f>F23</f>
        <v>98</v>
      </c>
      <c r="T23" s="1506" t="s">
        <v>8</v>
      </c>
      <c r="U23" s="1507">
        <f>H23</f>
        <v>98</v>
      </c>
      <c r="V23" s="1506" t="s">
        <v>8</v>
      </c>
      <c r="W23" s="1507">
        <f>J23</f>
        <v>98</v>
      </c>
      <c r="X23" s="1500"/>
      <c r="Y23" s="3613"/>
      <c r="Z23" s="1508" t="str">
        <f>Q23</f>
        <v>环境质量</v>
      </c>
      <c r="AA23" s="1509">
        <f t="shared" si="3"/>
        <v>1.0204081632653061</v>
      </c>
      <c r="AB23" s="1509">
        <f t="shared" si="4"/>
        <v>1.0204081632653061</v>
      </c>
      <c r="AC23" s="1509">
        <f t="shared" si="5"/>
        <v>1.0204081632653061</v>
      </c>
    </row>
    <row r="24" spans="1:29" ht="15">
      <c r="A24" s="524"/>
      <c r="B24" s="570"/>
      <c r="C24" s="546" t="s">
        <v>3081</v>
      </c>
      <c r="D24" s="547"/>
      <c r="E24" s="550" t="s">
        <v>3075</v>
      </c>
      <c r="F24" s="547"/>
      <c r="G24" s="548" t="s">
        <v>3075</v>
      </c>
      <c r="H24" s="547"/>
      <c r="I24" s="548" t="s">
        <v>3075</v>
      </c>
      <c r="J24" s="547"/>
      <c r="K24" s="886"/>
      <c r="L24" s="2022"/>
      <c r="M24" s="2014"/>
      <c r="N24" s="2014"/>
      <c r="O24" s="2014"/>
      <c r="P24" s="3613"/>
      <c r="Q24" s="1505"/>
      <c r="R24" s="1506"/>
      <c r="S24" s="1507"/>
      <c r="T24" s="1506"/>
      <c r="U24" s="1507"/>
      <c r="V24" s="1506"/>
      <c r="W24" s="1507"/>
      <c r="X24" s="1500"/>
      <c r="Y24" s="3613"/>
      <c r="Z24" s="1508"/>
      <c r="AA24" s="1509">
        <v>1</v>
      </c>
      <c r="AB24" s="1509">
        <v>1</v>
      </c>
      <c r="AC24" s="1509">
        <v>1</v>
      </c>
    </row>
    <row r="25" spans="1:29" ht="27">
      <c r="A25" s="507"/>
      <c r="B25" s="552" t="s">
        <v>540</v>
      </c>
      <c r="C25" s="899"/>
      <c r="D25" s="532">
        <v>100</v>
      </c>
      <c r="E25" s="531"/>
      <c r="F25" s="532">
        <f>SUMIF(87:87,E26,88:88)-SUMIF(87:87,C26,88:88)+100</f>
        <v>96</v>
      </c>
      <c r="G25" s="899"/>
      <c r="H25" s="532">
        <f>SUMIF(87:87,G26,88:88)-SUMIF(87:87,C26,88:88)+100</f>
        <v>96</v>
      </c>
      <c r="I25" s="531"/>
      <c r="J25" s="532">
        <f>SUMIF(87:87,I26,88:88)-SUMIF(87:87,C26,88:88)+100</f>
        <v>96</v>
      </c>
      <c r="K25" s="885">
        <v>2</v>
      </c>
      <c r="L25" s="2022"/>
      <c r="M25" s="2014"/>
      <c r="N25" s="2014"/>
      <c r="O25" s="2014"/>
      <c r="P25" s="3613"/>
      <c r="Q25" s="1505" t="str">
        <f>B25</f>
        <v>毗邻道路的类型与等级</v>
      </c>
      <c r="R25" s="1506" t="s">
        <v>8</v>
      </c>
      <c r="S25" s="1507">
        <f>F25</f>
        <v>96</v>
      </c>
      <c r="T25" s="1506" t="s">
        <v>8</v>
      </c>
      <c r="U25" s="1507">
        <f>H25</f>
        <v>96</v>
      </c>
      <c r="V25" s="1506" t="s">
        <v>8</v>
      </c>
      <c r="W25" s="1507">
        <f>J25</f>
        <v>96</v>
      </c>
      <c r="X25" s="1500"/>
      <c r="Y25" s="3613"/>
      <c r="Z25" s="1508" t="str">
        <f>Q25</f>
        <v>毗邻道路的类型与等级</v>
      </c>
      <c r="AA25" s="1509">
        <f t="shared" si="3"/>
        <v>1.0416666666666667</v>
      </c>
      <c r="AB25" s="1509">
        <f t="shared" si="4"/>
        <v>1.0416666666666667</v>
      </c>
      <c r="AC25" s="1509">
        <f t="shared" si="5"/>
        <v>1.0416666666666667</v>
      </c>
    </row>
    <row r="26" spans="1:29" ht="15">
      <c r="A26" s="507"/>
      <c r="B26" s="558"/>
      <c r="C26" s="572" t="s">
        <v>3175</v>
      </c>
      <c r="D26" s="532"/>
      <c r="E26" s="575" t="s">
        <v>3086</v>
      </c>
      <c r="F26" s="532"/>
      <c r="G26" s="572" t="s">
        <v>3086</v>
      </c>
      <c r="H26" s="532"/>
      <c r="I26" s="575" t="s">
        <v>3086</v>
      </c>
      <c r="J26" s="532"/>
      <c r="K26" s="886"/>
      <c r="L26" s="2022"/>
      <c r="M26" s="2014"/>
      <c r="N26" s="2014"/>
      <c r="O26" s="2014"/>
      <c r="P26" s="3613"/>
      <c r="Q26" s="1505"/>
      <c r="R26" s="1506"/>
      <c r="S26" s="1507"/>
      <c r="T26" s="1506"/>
      <c r="U26" s="1507"/>
      <c r="V26" s="1506"/>
      <c r="W26" s="1507"/>
      <c r="X26" s="1500"/>
      <c r="Y26" s="3613"/>
      <c r="Z26" s="1508"/>
      <c r="AA26" s="1509">
        <v>1</v>
      </c>
      <c r="AB26" s="1509">
        <v>1</v>
      </c>
      <c r="AC26" s="1509">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2"/>
      <c r="M27" s="2014"/>
      <c r="N27" s="2014"/>
      <c r="O27" s="2014"/>
      <c r="P27" s="3613"/>
      <c r="Q27" s="1505" t="str">
        <f t="shared" ref="Q27:Q47" si="11">B27</f>
        <v>楼层</v>
      </c>
      <c r="R27" s="1506" t="s">
        <v>8</v>
      </c>
      <c r="S27" s="1507">
        <f>F27</f>
        <v>100</v>
      </c>
      <c r="T27" s="1506" t="s">
        <v>8</v>
      </c>
      <c r="U27" s="1507">
        <f>H27</f>
        <v>100</v>
      </c>
      <c r="V27" s="1506" t="s">
        <v>8</v>
      </c>
      <c r="W27" s="1507">
        <f>J27</f>
        <v>100</v>
      </c>
      <c r="X27" s="1500"/>
      <c r="Y27" s="3613"/>
      <c r="Z27" s="1508" t="str">
        <f>Q27</f>
        <v>楼层</v>
      </c>
      <c r="AA27" s="1509">
        <f t="shared" si="3"/>
        <v>1</v>
      </c>
      <c r="AB27" s="1509">
        <f t="shared" si="4"/>
        <v>1</v>
      </c>
      <c r="AC27" s="1509">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5"/>
      <c r="M28" s="2016"/>
      <c r="N28" s="2016"/>
      <c r="O28" s="2016"/>
      <c r="P28" s="3613"/>
      <c r="Q28" s="1132" t="str">
        <f t="shared" si="11"/>
        <v>朝向</v>
      </c>
      <c r="R28" s="1501" t="s">
        <v>8</v>
      </c>
      <c r="S28" s="1502">
        <f>F28</f>
        <v>100</v>
      </c>
      <c r="T28" s="1501" t="s">
        <v>8</v>
      </c>
      <c r="U28" s="1502">
        <f>H28</f>
        <v>100</v>
      </c>
      <c r="V28" s="1501" t="s">
        <v>8</v>
      </c>
      <c r="W28" s="1502">
        <f>J28</f>
        <v>100</v>
      </c>
      <c r="X28" s="1503"/>
      <c r="Y28" s="3613"/>
      <c r="Z28" s="1131" t="str">
        <f>Q28</f>
        <v>朝向</v>
      </c>
      <c r="AA28" s="1509">
        <f>D28/F28</f>
        <v>1</v>
      </c>
      <c r="AB28" s="1509">
        <f>D28/H28</f>
        <v>1</v>
      </c>
      <c r="AC28" s="1509">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2"/>
      <c r="M29" s="2014"/>
      <c r="N29" s="2014"/>
      <c r="O29" s="2014"/>
      <c r="P29" s="3613"/>
      <c r="Q29" s="1505">
        <f t="shared" si="11"/>
        <v>111</v>
      </c>
      <c r="R29" s="1506" t="s">
        <v>8</v>
      </c>
      <c r="S29" s="1507">
        <f t="shared" ref="S29:S47" si="12">F29</f>
        <v>100</v>
      </c>
      <c r="T29" s="1506" t="s">
        <v>8</v>
      </c>
      <c r="U29" s="1507">
        <f t="shared" ref="U29:U47" si="13">H29</f>
        <v>100</v>
      </c>
      <c r="V29" s="1506" t="s">
        <v>8</v>
      </c>
      <c r="W29" s="1507">
        <f t="shared" ref="W29:W47" si="14">J29</f>
        <v>100</v>
      </c>
      <c r="X29" s="1500"/>
      <c r="Y29" s="3613"/>
      <c r="Z29" s="1508">
        <f t="shared" ref="Z29:Z47" si="15">Q29</f>
        <v>111</v>
      </c>
      <c r="AA29" s="1509">
        <f t="shared" si="3"/>
        <v>1</v>
      </c>
      <c r="AB29" s="1509">
        <f t="shared" si="4"/>
        <v>1</v>
      </c>
      <c r="AC29" s="1509">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2"/>
      <c r="M30" s="2014"/>
      <c r="N30" s="2014"/>
      <c r="O30" s="2014"/>
      <c r="P30" s="3613"/>
      <c r="Q30" s="1505">
        <f t="shared" si="11"/>
        <v>111</v>
      </c>
      <c r="R30" s="1506" t="s">
        <v>8</v>
      </c>
      <c r="S30" s="1507">
        <f t="shared" si="12"/>
        <v>100</v>
      </c>
      <c r="T30" s="1506" t="s">
        <v>8</v>
      </c>
      <c r="U30" s="1507">
        <f t="shared" si="13"/>
        <v>100</v>
      </c>
      <c r="V30" s="1506" t="s">
        <v>8</v>
      </c>
      <c r="W30" s="1507">
        <f t="shared" si="14"/>
        <v>100</v>
      </c>
      <c r="X30" s="1500"/>
      <c r="Y30" s="3613"/>
      <c r="Z30" s="1508">
        <f t="shared" si="15"/>
        <v>111</v>
      </c>
      <c r="AA30" s="1509">
        <f t="shared" si="3"/>
        <v>1</v>
      </c>
      <c r="AB30" s="1509">
        <f t="shared" si="4"/>
        <v>1</v>
      </c>
      <c r="AC30" s="1509">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2"/>
      <c r="M31" s="2014"/>
      <c r="N31" s="2014"/>
      <c r="O31" s="2014"/>
      <c r="P31" s="3613"/>
      <c r="Q31" s="1505">
        <f t="shared" si="11"/>
        <v>111</v>
      </c>
      <c r="R31" s="1506" t="s">
        <v>8</v>
      </c>
      <c r="S31" s="1507">
        <f t="shared" si="12"/>
        <v>100</v>
      </c>
      <c r="T31" s="1506" t="s">
        <v>8</v>
      </c>
      <c r="U31" s="1507">
        <f t="shared" si="13"/>
        <v>100</v>
      </c>
      <c r="V31" s="1506" t="s">
        <v>8</v>
      </c>
      <c r="W31" s="1507">
        <f t="shared" si="14"/>
        <v>100</v>
      </c>
      <c r="X31" s="1500"/>
      <c r="Y31" s="3613"/>
      <c r="Z31" s="1508">
        <f t="shared" si="15"/>
        <v>111</v>
      </c>
      <c r="AA31" s="1509">
        <f t="shared" si="3"/>
        <v>1</v>
      </c>
      <c r="AB31" s="1509">
        <f t="shared" si="4"/>
        <v>1</v>
      </c>
      <c r="AC31" s="1509">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2"/>
      <c r="M32" s="2014"/>
      <c r="N32" s="2014"/>
      <c r="O32" s="2014"/>
      <c r="P32" s="3613"/>
      <c r="Q32" s="1505">
        <f t="shared" si="11"/>
        <v>111</v>
      </c>
      <c r="R32" s="1506" t="s">
        <v>8</v>
      </c>
      <c r="S32" s="1507">
        <f t="shared" si="12"/>
        <v>100</v>
      </c>
      <c r="T32" s="1506" t="s">
        <v>8</v>
      </c>
      <c r="U32" s="1507">
        <f t="shared" si="13"/>
        <v>100</v>
      </c>
      <c r="V32" s="1506" t="s">
        <v>8</v>
      </c>
      <c r="W32" s="1507">
        <f t="shared" si="14"/>
        <v>100</v>
      </c>
      <c r="X32" s="1500"/>
      <c r="Y32" s="3613"/>
      <c r="Z32" s="1508">
        <f t="shared" si="15"/>
        <v>111</v>
      </c>
      <c r="AA32" s="1509">
        <f t="shared" si="3"/>
        <v>1</v>
      </c>
      <c r="AB32" s="1509">
        <f t="shared" si="4"/>
        <v>1</v>
      </c>
      <c r="AC32" s="1509">
        <f t="shared" si="5"/>
        <v>1</v>
      </c>
    </row>
    <row r="33" spans="1:29" ht="15">
      <c r="A33" s="2622" t="s">
        <v>2733</v>
      </c>
      <c r="B33" s="169" t="s">
        <v>772</v>
      </c>
      <c r="C33" s="903" t="s">
        <v>3147</v>
      </c>
      <c r="D33" s="589">
        <v>100</v>
      </c>
      <c r="E33" s="903" t="s">
        <v>3147</v>
      </c>
      <c r="F33" s="567">
        <f>SUMIF(101:101,E33,102:102)-SUMIF(101:101,C33,102:102)+100</f>
        <v>100</v>
      </c>
      <c r="G33" s="903" t="s">
        <v>3147</v>
      </c>
      <c r="H33" s="532">
        <f>SUMIF(101:101,G33,102:102)-SUMIF(101:101,C33,102:102)+100</f>
        <v>100</v>
      </c>
      <c r="I33" s="903" t="s">
        <v>3147</v>
      </c>
      <c r="J33" s="589">
        <f>SUMIF(101:101,I33,102:102)-SUMIF(101:101,C33,102:102)+100</f>
        <v>100</v>
      </c>
      <c r="K33" s="576"/>
      <c r="L33" s="2022"/>
      <c r="M33" s="2014"/>
      <c r="N33" s="2014"/>
      <c r="O33" s="2014"/>
      <c r="P33" s="3614" t="s">
        <v>542</v>
      </c>
      <c r="Q33" s="1505" t="str">
        <f t="shared" si="11"/>
        <v>建筑类型</v>
      </c>
      <c r="R33" s="1506" t="s">
        <v>8</v>
      </c>
      <c r="S33" s="1507">
        <f t="shared" si="12"/>
        <v>100</v>
      </c>
      <c r="T33" s="1506" t="s">
        <v>8</v>
      </c>
      <c r="U33" s="1507">
        <f t="shared" si="13"/>
        <v>100</v>
      </c>
      <c r="V33" s="1506" t="s">
        <v>8</v>
      </c>
      <c r="W33" s="1507">
        <f t="shared" si="14"/>
        <v>100</v>
      </c>
      <c r="X33" s="1500"/>
      <c r="Y33" s="3615" t="s">
        <v>542</v>
      </c>
      <c r="Z33" s="1508" t="str">
        <f t="shared" si="15"/>
        <v>建筑类型</v>
      </c>
      <c r="AA33" s="1509">
        <f t="shared" si="3"/>
        <v>1</v>
      </c>
      <c r="AB33" s="1509">
        <f t="shared" si="4"/>
        <v>1</v>
      </c>
      <c r="AC33" s="1509">
        <f t="shared" si="5"/>
        <v>1</v>
      </c>
    </row>
    <row r="34" spans="1:29" s="1291" customFormat="1" ht="15">
      <c r="A34" s="595"/>
      <c r="B34" s="519" t="s">
        <v>718</v>
      </c>
      <c r="C34" s="867">
        <f>'不动产比较法-商业'!C33</f>
        <v>15401.814</v>
      </c>
      <c r="D34" s="251">
        <v>100</v>
      </c>
      <c r="E34" s="526">
        <v>170</v>
      </c>
      <c r="F34" s="850">
        <f>LOOKUP(E34,104:104,105:105)-LOOKUP(C34,104:104,105:105)+100</f>
        <v>100</v>
      </c>
      <c r="G34" s="525">
        <v>1050</v>
      </c>
      <c r="H34" s="251">
        <f>LOOKUP(G34,104:104,105:105)-LOOKUP(C34,104:104,105:105)+100</f>
        <v>100</v>
      </c>
      <c r="I34" s="525">
        <v>68</v>
      </c>
      <c r="J34" s="251">
        <f>LOOKUP(I34,104:104,105:105)-LOOKUP(C34,104:104,105:105)+100</f>
        <v>100</v>
      </c>
      <c r="K34" s="573"/>
      <c r="L34" s="2020"/>
      <c r="M34" s="2050"/>
      <c r="N34" s="2050"/>
      <c r="O34" s="2050"/>
      <c r="P34" s="3615"/>
      <c r="Q34" s="1534" t="str">
        <f t="shared" si="11"/>
        <v>项目建筑规模</v>
      </c>
      <c r="R34" s="1510" t="s">
        <v>8</v>
      </c>
      <c r="S34" s="1511">
        <f t="shared" si="12"/>
        <v>100</v>
      </c>
      <c r="T34" s="1510" t="s">
        <v>8</v>
      </c>
      <c r="U34" s="1511">
        <f t="shared" si="13"/>
        <v>100</v>
      </c>
      <c r="V34" s="1510" t="s">
        <v>8</v>
      </c>
      <c r="W34" s="1511">
        <f t="shared" si="14"/>
        <v>100</v>
      </c>
      <c r="X34" s="1512"/>
      <c r="Y34" s="3615"/>
      <c r="Z34" s="1513" t="str">
        <f t="shared" si="15"/>
        <v>项目建筑规模</v>
      </c>
      <c r="AA34" s="1509">
        <f t="shared" si="3"/>
        <v>1</v>
      </c>
      <c r="AB34" s="1509">
        <f t="shared" si="4"/>
        <v>1</v>
      </c>
      <c r="AC34" s="1509">
        <f t="shared" si="5"/>
        <v>1</v>
      </c>
    </row>
    <row r="35" spans="1:29" ht="15">
      <c r="A35" s="586"/>
      <c r="B35" s="519" t="s">
        <v>719</v>
      </c>
      <c r="C35" s="566" t="s">
        <v>3080</v>
      </c>
      <c r="D35" s="532">
        <v>100</v>
      </c>
      <c r="E35" s="566" t="s">
        <v>3080</v>
      </c>
      <c r="F35" s="567">
        <f>SUMIF(106:106,E35,107:107)-SUMIF(106:106,C35,107:107)+100</f>
        <v>100</v>
      </c>
      <c r="G35" s="566" t="s">
        <v>3080</v>
      </c>
      <c r="H35" s="532">
        <f>SUMIF(106:106,G35,107:107)-SUMIF(106:106,C35,107:107)+100</f>
        <v>100</v>
      </c>
      <c r="I35" s="566" t="s">
        <v>3080</v>
      </c>
      <c r="J35" s="532">
        <f>SUMIF(106:106,I35,107:107)-SUMIF(106:106,C35,107:107)+100</f>
        <v>100</v>
      </c>
      <c r="K35" s="576"/>
      <c r="L35" s="2022"/>
      <c r="M35" s="2014"/>
      <c r="N35" s="2014"/>
      <c r="O35" s="2014"/>
      <c r="P35" s="3615"/>
      <c r="Q35" s="1505" t="str">
        <f t="shared" si="11"/>
        <v>建筑结构</v>
      </c>
      <c r="R35" s="1506" t="s">
        <v>8</v>
      </c>
      <c r="S35" s="1507">
        <f t="shared" si="12"/>
        <v>100</v>
      </c>
      <c r="T35" s="1506" t="s">
        <v>8</v>
      </c>
      <c r="U35" s="1507">
        <f t="shared" si="13"/>
        <v>100</v>
      </c>
      <c r="V35" s="1506" t="s">
        <v>8</v>
      </c>
      <c r="W35" s="1507">
        <f t="shared" si="14"/>
        <v>100</v>
      </c>
      <c r="X35" s="1500"/>
      <c r="Y35" s="3615"/>
      <c r="Z35" s="1508" t="str">
        <f t="shared" si="15"/>
        <v>建筑结构</v>
      </c>
      <c r="AA35" s="1509">
        <f t="shared" si="3"/>
        <v>1</v>
      </c>
      <c r="AB35" s="1509">
        <f t="shared" si="4"/>
        <v>1</v>
      </c>
      <c r="AC35" s="1509">
        <f t="shared" si="5"/>
        <v>1</v>
      </c>
    </row>
    <row r="36" spans="1:29" ht="15" hidden="1">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2"/>
      <c r="M36" s="2014"/>
      <c r="N36" s="2014"/>
      <c r="O36" s="2014"/>
      <c r="P36" s="3615"/>
      <c r="Q36" s="1505" t="str">
        <f t="shared" si="11"/>
        <v>公共部分装修</v>
      </c>
      <c r="R36" s="1506" t="s">
        <v>8</v>
      </c>
      <c r="S36" s="1507">
        <f t="shared" si="12"/>
        <v>100</v>
      </c>
      <c r="T36" s="1506" t="s">
        <v>8</v>
      </c>
      <c r="U36" s="1507">
        <f t="shared" si="13"/>
        <v>100</v>
      </c>
      <c r="V36" s="1506" t="s">
        <v>8</v>
      </c>
      <c r="W36" s="1507">
        <f t="shared" si="14"/>
        <v>100</v>
      </c>
      <c r="X36" s="1500"/>
      <c r="Y36" s="3615"/>
      <c r="Z36" s="1508" t="str">
        <f t="shared" si="15"/>
        <v>公共部分装修</v>
      </c>
      <c r="AA36" s="1509">
        <f t="shared" si="3"/>
        <v>1</v>
      </c>
      <c r="AB36" s="1509">
        <f t="shared" si="4"/>
        <v>1</v>
      </c>
      <c r="AC36" s="1509">
        <f t="shared" si="5"/>
        <v>1</v>
      </c>
    </row>
    <row r="37" spans="1:29" ht="15">
      <c r="A37" s="586"/>
      <c r="B37" s="519" t="s">
        <v>756</v>
      </c>
      <c r="C37" s="870">
        <v>1</v>
      </c>
      <c r="D37" s="532">
        <v>100</v>
      </c>
      <c r="E37" s="870">
        <v>0.85</v>
      </c>
      <c r="F37" s="567">
        <f>LOOKUP(E37,111:111,112:112)-LOOKUP(C37,111:111,112:112)+100</f>
        <v>98</v>
      </c>
      <c r="G37" s="870">
        <v>0.85</v>
      </c>
      <c r="H37" s="567">
        <f>LOOKUP(G37,111:111,112:112)-LOOKUP(C37,111:111,112:112)+100</f>
        <v>98</v>
      </c>
      <c r="I37" s="870">
        <v>0.85</v>
      </c>
      <c r="J37" s="532">
        <f>LOOKUP(I37,111:111,112:112)-LOOKUP(C37,111:111,112:112)+100</f>
        <v>98</v>
      </c>
      <c r="K37" s="576">
        <v>2</v>
      </c>
      <c r="L37" s="2022"/>
      <c r="M37" s="2014"/>
      <c r="N37" s="2014"/>
      <c r="O37" s="2014"/>
      <c r="P37" s="3615"/>
      <c r="Q37" s="1505" t="str">
        <f t="shared" si="11"/>
        <v>成新度</v>
      </c>
      <c r="R37" s="1506" t="s">
        <v>8</v>
      </c>
      <c r="S37" s="1507">
        <f t="shared" si="12"/>
        <v>98</v>
      </c>
      <c r="T37" s="1506" t="s">
        <v>8</v>
      </c>
      <c r="U37" s="1507">
        <f t="shared" si="13"/>
        <v>98</v>
      </c>
      <c r="V37" s="1506" t="s">
        <v>8</v>
      </c>
      <c r="W37" s="1507">
        <f t="shared" si="14"/>
        <v>98</v>
      </c>
      <c r="X37" s="1500"/>
      <c r="Y37" s="3615"/>
      <c r="Z37" s="1508" t="str">
        <f t="shared" si="15"/>
        <v>成新度</v>
      </c>
      <c r="AA37" s="1509">
        <f t="shared" si="3"/>
        <v>1.0204081632653061</v>
      </c>
      <c r="AB37" s="1509">
        <f t="shared" si="4"/>
        <v>1.0204081632653061</v>
      </c>
      <c r="AC37" s="1509">
        <f t="shared" si="5"/>
        <v>1.0204081632653061</v>
      </c>
    </row>
    <row r="38" spans="1:29" s="1201" customFormat="1" ht="15" hidden="1">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5"/>
      <c r="M38" s="2016"/>
      <c r="N38" s="2016"/>
      <c r="O38" s="2016"/>
      <c r="P38" s="3615"/>
      <c r="Q38" s="1132" t="str">
        <f t="shared" si="11"/>
        <v>写字楼等级</v>
      </c>
      <c r="R38" s="1501" t="s">
        <v>8</v>
      </c>
      <c r="S38" s="1502">
        <f t="shared" si="12"/>
        <v>100</v>
      </c>
      <c r="T38" s="1501" t="s">
        <v>8</v>
      </c>
      <c r="U38" s="1502">
        <f t="shared" si="13"/>
        <v>100</v>
      </c>
      <c r="V38" s="1501" t="s">
        <v>8</v>
      </c>
      <c r="W38" s="1502">
        <f t="shared" si="14"/>
        <v>100</v>
      </c>
      <c r="X38" s="1503"/>
      <c r="Y38" s="3615"/>
      <c r="Z38" s="1131" t="str">
        <f t="shared" si="15"/>
        <v>写字楼等级</v>
      </c>
      <c r="AA38" s="1504">
        <f t="shared" si="3"/>
        <v>1</v>
      </c>
      <c r="AB38" s="1504">
        <f t="shared" si="4"/>
        <v>1</v>
      </c>
      <c r="AC38" s="1504">
        <f t="shared" si="5"/>
        <v>1</v>
      </c>
    </row>
    <row r="39" spans="1:29" ht="15">
      <c r="A39" s="586"/>
      <c r="B39" s="519" t="s">
        <v>774</v>
      </c>
      <c r="C39" s="566" t="s">
        <v>3150</v>
      </c>
      <c r="D39" s="532">
        <v>100</v>
      </c>
      <c r="E39" s="566" t="s">
        <v>3150</v>
      </c>
      <c r="F39" s="567">
        <f>SUMIF(115:115,E39,116:116)-SUMIF(115:115,C39,116:116)+100</f>
        <v>100</v>
      </c>
      <c r="G39" s="566" t="s">
        <v>3150</v>
      </c>
      <c r="H39" s="532">
        <f>SUMIF(115:115,G39,116:116)-SUMIF(115:115,C39,116:116)+100</f>
        <v>100</v>
      </c>
      <c r="I39" s="566" t="s">
        <v>3150</v>
      </c>
      <c r="J39" s="532">
        <f>SUMIF(115:115,I39,116:116)-SUMIF(115:115,C39,116:116)+100</f>
        <v>100</v>
      </c>
      <c r="K39" s="576"/>
      <c r="L39" s="2022"/>
      <c r="M39" s="2014"/>
      <c r="N39" s="2014"/>
      <c r="O39" s="2014"/>
      <c r="P39" s="3615" t="s">
        <v>542</v>
      </c>
      <c r="Q39" s="1505" t="str">
        <f t="shared" si="11"/>
        <v>物业管理</v>
      </c>
      <c r="R39" s="1506" t="s">
        <v>8</v>
      </c>
      <c r="S39" s="1507">
        <f t="shared" si="12"/>
        <v>100</v>
      </c>
      <c r="T39" s="1506" t="s">
        <v>8</v>
      </c>
      <c r="U39" s="1507">
        <f t="shared" si="13"/>
        <v>100</v>
      </c>
      <c r="V39" s="1506" t="s">
        <v>8</v>
      </c>
      <c r="W39" s="1507">
        <f t="shared" si="14"/>
        <v>100</v>
      </c>
      <c r="X39" s="1500"/>
      <c r="Y39" s="3615" t="s">
        <v>542</v>
      </c>
      <c r="Z39" s="1508" t="str">
        <f t="shared" si="15"/>
        <v>物业管理</v>
      </c>
      <c r="AA39" s="1509">
        <f t="shared" si="3"/>
        <v>1</v>
      </c>
      <c r="AB39" s="1509">
        <f t="shared" si="4"/>
        <v>1</v>
      </c>
      <c r="AC39" s="1509">
        <f t="shared" si="5"/>
        <v>1</v>
      </c>
    </row>
    <row r="40" spans="1:29" ht="15" hidden="1">
      <c r="A40" s="586"/>
      <c r="B40" s="1807"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2"/>
      <c r="M40" s="2014"/>
      <c r="N40" s="2014"/>
      <c r="O40" s="2014"/>
      <c r="P40" s="3615"/>
      <c r="Q40" s="1505" t="str">
        <f t="shared" si="11"/>
        <v>市政基础设施</v>
      </c>
      <c r="R40" s="1506" t="s">
        <v>8</v>
      </c>
      <c r="S40" s="1507">
        <f t="shared" si="12"/>
        <v>100</v>
      </c>
      <c r="T40" s="1506" t="s">
        <v>8</v>
      </c>
      <c r="U40" s="1507">
        <f t="shared" si="13"/>
        <v>100</v>
      </c>
      <c r="V40" s="1506" t="s">
        <v>8</v>
      </c>
      <c r="W40" s="1507">
        <f t="shared" si="14"/>
        <v>100</v>
      </c>
      <c r="X40" s="1500"/>
      <c r="Y40" s="3615"/>
      <c r="Z40" s="1508" t="str">
        <f t="shared" si="15"/>
        <v>市政基础设施</v>
      </c>
      <c r="AA40" s="1509">
        <f t="shared" si="3"/>
        <v>1</v>
      </c>
      <c r="AB40" s="1509">
        <f t="shared" si="4"/>
        <v>1</v>
      </c>
      <c r="AC40" s="1509">
        <f t="shared" si="5"/>
        <v>1</v>
      </c>
    </row>
    <row r="41" spans="1:29" ht="15" hidden="1">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2"/>
      <c r="M41" s="2014"/>
      <c r="N41" s="2014"/>
      <c r="O41" s="2014"/>
      <c r="P41" s="3615"/>
      <c r="Q41" s="1505" t="str">
        <f t="shared" si="11"/>
        <v>层高</v>
      </c>
      <c r="R41" s="1506" t="s">
        <v>8</v>
      </c>
      <c r="S41" s="1507">
        <f t="shared" si="12"/>
        <v>100</v>
      </c>
      <c r="T41" s="1506" t="s">
        <v>8</v>
      </c>
      <c r="U41" s="1507">
        <f t="shared" si="13"/>
        <v>100</v>
      </c>
      <c r="V41" s="1506" t="s">
        <v>8</v>
      </c>
      <c r="W41" s="1507">
        <f t="shared" si="14"/>
        <v>100</v>
      </c>
      <c r="X41" s="1500"/>
      <c r="Y41" s="3615"/>
      <c r="Z41" s="1508" t="str">
        <f t="shared" si="15"/>
        <v>层高</v>
      </c>
      <c r="AA41" s="1509">
        <f t="shared" si="3"/>
        <v>1</v>
      </c>
      <c r="AB41" s="1509">
        <f t="shared" si="4"/>
        <v>1</v>
      </c>
      <c r="AC41" s="1509">
        <f t="shared" si="5"/>
        <v>1</v>
      </c>
    </row>
    <row r="42" spans="1:29" s="1291" customFormat="1" ht="15" hidden="1">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20"/>
      <c r="M42" s="2050"/>
      <c r="N42" s="2050"/>
      <c r="O42" s="2050"/>
      <c r="P42" s="3615"/>
      <c r="Q42" s="1534" t="str">
        <f t="shared" si="11"/>
        <v>单套建筑面积</v>
      </c>
      <c r="R42" s="1510" t="s">
        <v>8</v>
      </c>
      <c r="S42" s="1511">
        <f t="shared" si="12"/>
        <v>100</v>
      </c>
      <c r="T42" s="1510" t="s">
        <v>8</v>
      </c>
      <c r="U42" s="1511">
        <f t="shared" si="13"/>
        <v>100</v>
      </c>
      <c r="V42" s="1510" t="s">
        <v>8</v>
      </c>
      <c r="W42" s="1511">
        <f t="shared" si="14"/>
        <v>100</v>
      </c>
      <c r="X42" s="1512"/>
      <c r="Y42" s="3615"/>
      <c r="Z42" s="1513" t="str">
        <f t="shared" si="15"/>
        <v>单套建筑面积</v>
      </c>
      <c r="AA42" s="1509">
        <f t="shared" si="3"/>
        <v>1</v>
      </c>
      <c r="AB42" s="1509">
        <f t="shared" si="4"/>
        <v>1</v>
      </c>
      <c r="AC42" s="1509">
        <f t="shared" si="5"/>
        <v>1</v>
      </c>
    </row>
    <row r="43" spans="1:29" ht="15.75" thickBot="1">
      <c r="A43" s="586"/>
      <c r="B43" s="519" t="s">
        <v>762</v>
      </c>
      <c r="C43" s="566" t="s">
        <v>3117</v>
      </c>
      <c r="D43" s="532">
        <v>100</v>
      </c>
      <c r="E43" s="566" t="s">
        <v>3115</v>
      </c>
      <c r="F43" s="567">
        <f>SUMIF(123:123,E43,124:124)-SUMIF(123:123,C43,124:124)+100</f>
        <v>102</v>
      </c>
      <c r="G43" s="566" t="s">
        <v>3115</v>
      </c>
      <c r="H43" s="532">
        <f>SUMIF(123:123,G43,124:124)-SUMIF(123:123,C43,124:124)+100</f>
        <v>102</v>
      </c>
      <c r="I43" s="566" t="s">
        <v>3117</v>
      </c>
      <c r="J43" s="532">
        <f>SUMIF(123:123,I43,124:124)-SUMIF(123:123,C43,124:124)+100</f>
        <v>100</v>
      </c>
      <c r="K43" s="576">
        <v>2</v>
      </c>
      <c r="L43" s="2022"/>
      <c r="M43" s="2014"/>
      <c r="N43" s="2014"/>
      <c r="O43" s="2014"/>
      <c r="P43" s="3615"/>
      <c r="Q43" s="1505" t="str">
        <f t="shared" si="11"/>
        <v>内部装修</v>
      </c>
      <c r="R43" s="1506" t="s">
        <v>8</v>
      </c>
      <c r="S43" s="1507">
        <f t="shared" si="12"/>
        <v>102</v>
      </c>
      <c r="T43" s="1506" t="s">
        <v>8</v>
      </c>
      <c r="U43" s="1507">
        <f t="shared" si="13"/>
        <v>102</v>
      </c>
      <c r="V43" s="1506" t="s">
        <v>8</v>
      </c>
      <c r="W43" s="1507">
        <f t="shared" si="14"/>
        <v>100</v>
      </c>
      <c r="X43" s="1500"/>
      <c r="Y43" s="3615"/>
      <c r="Z43" s="1508" t="str">
        <f t="shared" si="15"/>
        <v>内部装修</v>
      </c>
      <c r="AA43" s="1509">
        <f t="shared" si="3"/>
        <v>0.98039215686274506</v>
      </c>
      <c r="AB43" s="1509">
        <f t="shared" si="4"/>
        <v>0.98039215686274506</v>
      </c>
      <c r="AC43" s="1509">
        <f t="shared" si="5"/>
        <v>1</v>
      </c>
    </row>
    <row r="44" spans="1:29" ht="27" hidden="1">
      <c r="A44" s="586"/>
      <c r="B44" s="519" t="s">
        <v>727</v>
      </c>
      <c r="C44" s="566" t="s">
        <v>3081</v>
      </c>
      <c r="D44" s="532">
        <v>100</v>
      </c>
      <c r="E44" s="591" t="s">
        <v>3081</v>
      </c>
      <c r="F44" s="567">
        <f>SUMIF(125:125,E44,126:126)-SUMIF(125:125,C44,126:126)+100</f>
        <v>100</v>
      </c>
      <c r="G44" s="591" t="s">
        <v>3081</v>
      </c>
      <c r="H44" s="532">
        <f>SUMIF(125:125,G44,126:126)-SUMIF(125:125,C44,126:126)+100</f>
        <v>100</v>
      </c>
      <c r="I44" s="591" t="s">
        <v>3081</v>
      </c>
      <c r="J44" s="532">
        <f>SUMIF(125:125,I44,126:126)-SUMIF(125:125,C44,126:126)+100</f>
        <v>100</v>
      </c>
      <c r="K44" s="576"/>
      <c r="L44" s="2022"/>
      <c r="M44" s="2014"/>
      <c r="N44" s="2014"/>
      <c r="O44" s="2014"/>
      <c r="P44" s="3615"/>
      <c r="Q44" s="1505" t="str">
        <f t="shared" si="11"/>
        <v>内部装修维护情况</v>
      </c>
      <c r="R44" s="1506" t="s">
        <v>8</v>
      </c>
      <c r="S44" s="1507">
        <f t="shared" si="12"/>
        <v>100</v>
      </c>
      <c r="T44" s="1506" t="s">
        <v>8</v>
      </c>
      <c r="U44" s="1507">
        <f t="shared" si="13"/>
        <v>100</v>
      </c>
      <c r="V44" s="1506" t="s">
        <v>8</v>
      </c>
      <c r="W44" s="1507">
        <f t="shared" si="14"/>
        <v>100</v>
      </c>
      <c r="X44" s="1500"/>
      <c r="Y44" s="3615"/>
      <c r="Z44" s="1508" t="str">
        <f t="shared" si="15"/>
        <v>内部装修维护情况</v>
      </c>
      <c r="AA44" s="1509">
        <f t="shared" si="3"/>
        <v>1</v>
      </c>
      <c r="AB44" s="1509">
        <f t="shared" si="4"/>
        <v>1</v>
      </c>
      <c r="AC44" s="1509">
        <f t="shared" si="5"/>
        <v>1</v>
      </c>
    </row>
    <row r="45" spans="1:29" s="1201" customFormat="1" ht="15" hidden="1">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5"/>
      <c r="M45" s="2016"/>
      <c r="N45" s="2016"/>
      <c r="O45" s="2016"/>
      <c r="P45" s="3615"/>
      <c r="Q45" s="1132">
        <f t="shared" si="11"/>
        <v>111</v>
      </c>
      <c r="R45" s="1501" t="s">
        <v>8</v>
      </c>
      <c r="S45" s="1502">
        <f t="shared" si="12"/>
        <v>100</v>
      </c>
      <c r="T45" s="1501" t="s">
        <v>8</v>
      </c>
      <c r="U45" s="1502">
        <f t="shared" si="13"/>
        <v>100</v>
      </c>
      <c r="V45" s="1501" t="s">
        <v>8</v>
      </c>
      <c r="W45" s="1502">
        <f t="shared" si="14"/>
        <v>100</v>
      </c>
      <c r="X45" s="1503"/>
      <c r="Y45" s="3615"/>
      <c r="Z45" s="1131">
        <f t="shared" si="15"/>
        <v>111</v>
      </c>
      <c r="AA45" s="1504">
        <f t="shared" si="3"/>
        <v>1</v>
      </c>
      <c r="AB45" s="1504">
        <f t="shared" si="4"/>
        <v>1</v>
      </c>
      <c r="AC45" s="1504">
        <f t="shared" si="5"/>
        <v>1</v>
      </c>
    </row>
    <row r="46" spans="1:29" ht="15" hidden="1">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2"/>
      <c r="M46" s="2014"/>
      <c r="N46" s="2014"/>
      <c r="O46" s="2014"/>
      <c r="P46" s="3615"/>
      <c r="Q46" s="1505">
        <f t="shared" si="11"/>
        <v>111</v>
      </c>
      <c r="R46" s="1506" t="s">
        <v>8</v>
      </c>
      <c r="S46" s="1507">
        <f t="shared" si="12"/>
        <v>100</v>
      </c>
      <c r="T46" s="1506" t="s">
        <v>8</v>
      </c>
      <c r="U46" s="1507">
        <f t="shared" si="13"/>
        <v>100</v>
      </c>
      <c r="V46" s="1506" t="s">
        <v>8</v>
      </c>
      <c r="W46" s="1507">
        <f t="shared" si="14"/>
        <v>100</v>
      </c>
      <c r="X46" s="1500"/>
      <c r="Y46" s="3615"/>
      <c r="Z46" s="1508">
        <f t="shared" si="15"/>
        <v>111</v>
      </c>
      <c r="AA46" s="1509">
        <f t="shared" si="3"/>
        <v>1</v>
      </c>
      <c r="AB46" s="1509">
        <f t="shared" si="4"/>
        <v>1</v>
      </c>
      <c r="AC46" s="1509">
        <f t="shared" si="5"/>
        <v>1</v>
      </c>
    </row>
    <row r="47" spans="1:29" ht="15.75" hidden="1"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2"/>
      <c r="M47" s="2014"/>
      <c r="N47" s="2014"/>
      <c r="O47" s="2014"/>
      <c r="P47" s="3695"/>
      <c r="Q47" s="1505">
        <f t="shared" si="11"/>
        <v>111</v>
      </c>
      <c r="R47" s="1506" t="s">
        <v>8</v>
      </c>
      <c r="S47" s="1507">
        <f t="shared" si="12"/>
        <v>100</v>
      </c>
      <c r="T47" s="1506" t="s">
        <v>8</v>
      </c>
      <c r="U47" s="1507">
        <f t="shared" si="13"/>
        <v>100</v>
      </c>
      <c r="V47" s="1506" t="s">
        <v>8</v>
      </c>
      <c r="W47" s="1507">
        <f t="shared" si="14"/>
        <v>100</v>
      </c>
      <c r="X47" s="1500"/>
      <c r="Y47" s="3695"/>
      <c r="Z47" s="1508">
        <f t="shared" si="15"/>
        <v>111</v>
      </c>
      <c r="AA47" s="1509">
        <f t="shared" si="3"/>
        <v>1</v>
      </c>
      <c r="AB47" s="1509">
        <f t="shared" si="4"/>
        <v>1</v>
      </c>
      <c r="AC47" s="1509">
        <f t="shared" si="5"/>
        <v>1</v>
      </c>
    </row>
    <row r="48" spans="1:29" ht="15">
      <c r="A48" s="599" t="s">
        <v>728</v>
      </c>
      <c r="B48" s="874"/>
      <c r="C48" s="2468" t="s">
        <v>1</v>
      </c>
      <c r="D48" s="2469"/>
      <c r="E48" s="2470">
        <v>3.3</v>
      </c>
      <c r="F48" s="2471"/>
      <c r="G48" s="2472">
        <v>3.5</v>
      </c>
      <c r="H48" s="2473"/>
      <c r="I48" s="2470">
        <v>3.8</v>
      </c>
      <c r="J48" s="2473"/>
      <c r="K48" s="1539"/>
      <c r="L48" s="2024"/>
      <c r="M48" s="2014"/>
      <c r="N48" s="2014"/>
      <c r="O48" s="2014"/>
      <c r="P48" s="3576" t="str">
        <f>A48</f>
        <v>成交单价（元/平方米）</v>
      </c>
      <c r="Q48" s="3578"/>
      <c r="R48" s="3694">
        <f>E48</f>
        <v>3.3</v>
      </c>
      <c r="S48" s="3694"/>
      <c r="T48" s="3694">
        <f>G48</f>
        <v>3.5</v>
      </c>
      <c r="U48" s="3694"/>
      <c r="V48" s="3694">
        <f>I48</f>
        <v>3.8</v>
      </c>
      <c r="W48" s="3694"/>
      <c r="X48" s="1495"/>
      <c r="Y48" s="1514"/>
      <c r="Z48" s="1495"/>
      <c r="AA48" s="1495"/>
      <c r="AB48" s="1495"/>
      <c r="AC48" s="1495"/>
    </row>
    <row r="49" spans="1:29" ht="15.75" thickBot="1">
      <c r="A49" s="607" t="s">
        <v>2738</v>
      </c>
      <c r="B49" s="875"/>
      <c r="C49" s="2474">
        <f>R50</f>
        <v>3.7</v>
      </c>
      <c r="D49" s="3012" t="s">
        <v>2963</v>
      </c>
      <c r="E49" s="2475">
        <f>R49</f>
        <v>3.4</v>
      </c>
      <c r="F49" s="3013"/>
      <c r="G49" s="2474">
        <f>T49</f>
        <v>3.6</v>
      </c>
      <c r="H49" s="3013"/>
      <c r="I49" s="2475">
        <f>V49</f>
        <v>4</v>
      </c>
      <c r="J49" s="3013"/>
      <c r="K49" s="3021">
        <f>F49+H49+J49</f>
        <v>0</v>
      </c>
      <c r="L49" s="2024"/>
      <c r="M49" s="2014"/>
      <c r="N49" s="2014"/>
      <c r="O49" s="2014"/>
      <c r="P49" s="3576" t="str">
        <f>A49</f>
        <v>比较价格（元/平方米）</v>
      </c>
      <c r="Q49" s="3578"/>
      <c r="R49" s="3694">
        <f>IF(F1="售价",ROUND(PRODUCT(R48,AA7:AA47),0),ROUND(PRODUCT(R48,AA7:AA47),1))</f>
        <v>3.4</v>
      </c>
      <c r="S49" s="3694"/>
      <c r="T49" s="3694">
        <f>IF(F1="售价",ROUND(PRODUCT(T48,AB7:AB47),0),ROUND(PRODUCT(T48,AB7:AB47),1))</f>
        <v>3.6</v>
      </c>
      <c r="U49" s="3694"/>
      <c r="V49" s="3694">
        <f>IF(F1="售价",ROUND(PRODUCT(V48,AC7:AC47),0),ROUND(PRODUCT(V48,AC7:AC47),1))</f>
        <v>4</v>
      </c>
      <c r="W49" s="3694"/>
      <c r="X49" s="1495"/>
      <c r="Y49" s="1495"/>
      <c r="Z49" s="1495"/>
      <c r="AA49" s="1495"/>
      <c r="AB49" s="1495"/>
      <c r="AC49" s="1495"/>
    </row>
    <row r="50" spans="1:29" ht="15.75" thickBot="1">
      <c r="A50" s="611" t="s">
        <v>2898</v>
      </c>
      <c r="B50" s="612"/>
      <c r="C50" s="2476">
        <f>R50</f>
        <v>3.7</v>
      </c>
      <c r="D50" s="2476"/>
      <c r="E50" s="2476"/>
      <c r="F50" s="2476"/>
      <c r="G50" s="2476"/>
      <c r="H50" s="2476"/>
      <c r="I50" s="2476"/>
      <c r="J50" s="2476"/>
      <c r="K50" s="1540"/>
      <c r="L50" s="2024"/>
      <c r="M50" s="2014"/>
      <c r="N50" s="2014"/>
      <c r="O50" s="2014"/>
      <c r="P50" s="3699" t="str">
        <f>A50</f>
        <v>估价对象XX用房的比较价格（楼面单价，元/平方米）</v>
      </c>
      <c r="Q50" s="3576"/>
      <c r="R50" s="3693">
        <f>IF(F1="售价",ROUND(IF(D49="简单平均",AVERAGE(R49:V49),R49*F49+T49*H49+V49*J49),0),ROUND(IF(D49="简单平均",AVERAGE(R49:V49),R49*F49+T49*H49+V49*J49),1))</f>
        <v>3.7</v>
      </c>
      <c r="S50" s="3693"/>
      <c r="T50" s="3693"/>
      <c r="U50" s="3693"/>
      <c r="V50" s="3693"/>
      <c r="W50" s="3693"/>
      <c r="X50" s="1495"/>
      <c r="Y50" s="1495"/>
      <c r="Z50" s="1495"/>
      <c r="AA50" s="1495"/>
      <c r="AB50" s="1495"/>
      <c r="AC50" s="1495"/>
    </row>
    <row r="51" spans="1:29">
      <c r="A51" s="3210"/>
      <c r="B51" s="3210"/>
      <c r="C51" s="3210"/>
      <c r="D51" s="3210"/>
      <c r="E51" s="3210"/>
      <c r="F51" s="3210"/>
      <c r="G51" s="3212"/>
      <c r="H51" s="3210"/>
      <c r="I51" s="3210"/>
      <c r="J51" s="3210"/>
      <c r="K51" s="3213"/>
      <c r="L51" s="2029"/>
      <c r="M51" s="2025"/>
      <c r="N51" s="2025"/>
      <c r="O51" s="2025"/>
      <c r="P51" s="2086"/>
      <c r="Q51" s="2025"/>
      <c r="R51" s="2025"/>
      <c r="S51" s="2025"/>
      <c r="T51" s="2025"/>
      <c r="U51" s="2025"/>
      <c r="V51" s="2025"/>
      <c r="W51" s="2025"/>
      <c r="X51" s="2025"/>
      <c r="Y51" s="2025"/>
      <c r="Z51" s="2025"/>
      <c r="AA51" s="2025"/>
      <c r="AB51" s="2025"/>
      <c r="AC51" s="2025"/>
    </row>
    <row r="52" spans="1:29">
      <c r="A52" s="3210"/>
      <c r="B52" s="3210"/>
      <c r="C52" s="3210"/>
      <c r="D52" s="3210"/>
      <c r="E52" s="3210"/>
      <c r="F52" s="3210"/>
      <c r="G52" s="3210"/>
      <c r="H52" s="3210"/>
      <c r="I52" s="3210"/>
      <c r="J52" s="3210"/>
      <c r="K52" s="3213"/>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0"/>
      <c r="B53" s="3210"/>
      <c r="C53" s="614" t="s">
        <v>549</v>
      </c>
      <c r="D53" s="615"/>
      <c r="E53" s="616">
        <f>IF(E48&lt;E49,E49/E48-1,E48/E49-1)</f>
        <v>3.0303030303030276E-2</v>
      </c>
      <c r="F53" s="617" t="str">
        <f>IF(OR(E53&gt;=0.3,E53&lt;=-0.3),"超过30%","")</f>
        <v/>
      </c>
      <c r="G53" s="616">
        <f>IF(G48&lt;G49,G49/G48-1,G48/G49-1)</f>
        <v>2.8571428571428692E-2</v>
      </c>
      <c r="H53" s="617" t="str">
        <f>IF(OR(G53&gt;=0.3,G53&lt;=-0.3),"超过30%","")</f>
        <v/>
      </c>
      <c r="I53" s="616">
        <f>IF(I48&lt;I49,I49/I48-1,I48/I49-1)</f>
        <v>5.2631578947368363E-2</v>
      </c>
      <c r="J53" s="617" t="str">
        <f>IF(OR(I53&gt;=0.3,I53&lt;=-0.3),"超过30%","")</f>
        <v/>
      </c>
      <c r="K53" s="3213"/>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0"/>
      <c r="B54" s="3210"/>
      <c r="C54" s="614" t="s">
        <v>550</v>
      </c>
      <c r="D54" s="618"/>
      <c r="E54" s="616">
        <f>IF(E49&lt;G49,G49/E49-1,E49/G49-1)</f>
        <v>5.8823529411764719E-2</v>
      </c>
      <c r="F54" s="617" t="str">
        <f>IF(OR(E54&gt;=0.2,E54&lt;=-0.2),"超过20%","")</f>
        <v/>
      </c>
      <c r="G54" s="616">
        <f>IF(G49&lt;I49,I49/G49-1,G49/I49-1)</f>
        <v>0.11111111111111116</v>
      </c>
      <c r="H54" s="617" t="str">
        <f>IF(OR(G54&gt;=0.2,G54&lt;=-0.2),"超过20%","")</f>
        <v/>
      </c>
      <c r="I54" s="616">
        <f>IF(I49&lt;E49,E49/I49-1,I49/E49-1)</f>
        <v>0.17647058823529416</v>
      </c>
      <c r="J54" s="617" t="str">
        <f>IF(OR(I54&gt;=0.2,I54&lt;=-0.2),"超过20%","")</f>
        <v/>
      </c>
      <c r="K54" s="3213"/>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1"/>
      <c r="B55" s="3211"/>
      <c r="C55" s="614" t="s">
        <v>551</v>
      </c>
      <c r="D55" s="618"/>
      <c r="E55" s="616">
        <f>IF(E48&lt;G48,G48/E48-1,E48/G48-1)</f>
        <v>6.0606060606060552E-2</v>
      </c>
      <c r="F55" s="617" t="str">
        <f>IF(OR(E55&gt;=0.3,E55&lt;=-0.3),"超过30%","")</f>
        <v/>
      </c>
      <c r="G55" s="616">
        <f>IF(G48&lt;I48,I48/G48-1,G48/I48-1)</f>
        <v>8.5714285714285632E-2</v>
      </c>
      <c r="H55" s="617" t="str">
        <f>IF(OR(G55&gt;=0.3,G55&lt;=-0.3),"超过30%","")</f>
        <v/>
      </c>
      <c r="I55" s="616">
        <f>IF(I48&lt;E48,E48/I48-1,I48/E48-1)</f>
        <v>0.1515151515151516</v>
      </c>
      <c r="J55" s="617" t="str">
        <f>IF(OR(I55&gt;=0.3,I55&lt;=-0.3),"超过30%","")</f>
        <v/>
      </c>
      <c r="K55" s="3214"/>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566</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5" t="s">
        <v>521</v>
      </c>
      <c r="B59" s="636"/>
      <c r="C59" s="2517" t="str">
        <f>YEAR(C7)&amp;"-"&amp;MONTH(C7)</f>
        <v>2021-8</v>
      </c>
      <c r="D59" s="2519">
        <f>EDATE(C59,-1)</f>
        <v>44378</v>
      </c>
      <c r="E59" s="2519">
        <f t="shared" ref="E59:O59" si="16">EDATE(D59,-1)</f>
        <v>44348</v>
      </c>
      <c r="F59" s="2519">
        <f t="shared" si="16"/>
        <v>44317</v>
      </c>
      <c r="G59" s="2519">
        <f t="shared" si="16"/>
        <v>44287</v>
      </c>
      <c r="H59" s="2519">
        <f t="shared" si="16"/>
        <v>44256</v>
      </c>
      <c r="I59" s="2519">
        <f t="shared" si="16"/>
        <v>44228</v>
      </c>
      <c r="J59" s="2519">
        <f t="shared" si="16"/>
        <v>44197</v>
      </c>
      <c r="K59" s="2519">
        <f t="shared" si="16"/>
        <v>44166</v>
      </c>
      <c r="L59" s="2519">
        <f t="shared" si="16"/>
        <v>44136</v>
      </c>
      <c r="M59" s="2519">
        <f t="shared" si="16"/>
        <v>44105</v>
      </c>
      <c r="N59" s="2519">
        <f t="shared" si="16"/>
        <v>44075</v>
      </c>
      <c r="O59" s="2519">
        <f t="shared" si="16"/>
        <v>44044</v>
      </c>
      <c r="P59" s="2089"/>
      <c r="Q59" s="2040"/>
      <c r="R59" s="2040"/>
      <c r="S59" s="2040"/>
      <c r="T59" s="2040"/>
      <c r="U59" s="2040"/>
      <c r="V59" s="2040"/>
      <c r="W59" s="2040"/>
      <c r="X59" s="2040"/>
      <c r="Y59" s="2040"/>
      <c r="Z59" s="2040"/>
      <c r="AA59" s="2040"/>
      <c r="AB59" s="2040"/>
      <c r="AC59" s="2040"/>
    </row>
    <row r="60" spans="1:29" s="1201" customFormat="1" ht="15">
      <c r="A60" s="637"/>
      <c r="B60" s="638"/>
      <c r="C60" s="639">
        <v>100</v>
      </c>
      <c r="D60" s="640">
        <v>100</v>
      </c>
      <c r="E60" s="640">
        <v>100</v>
      </c>
      <c r="F60" s="640">
        <v>100</v>
      </c>
      <c r="G60" s="640">
        <v>100</v>
      </c>
      <c r="H60" s="640">
        <v>100</v>
      </c>
      <c r="I60" s="640">
        <v>100</v>
      </c>
      <c r="J60" s="640"/>
      <c r="K60" s="640"/>
      <c r="L60" s="640"/>
      <c r="M60" s="641"/>
      <c r="N60" s="640"/>
      <c r="O60" s="641"/>
      <c r="P60" s="2090"/>
      <c r="Q60" s="1903"/>
      <c r="R60" s="1903"/>
      <c r="S60" s="1903"/>
      <c r="T60" s="1903"/>
      <c r="U60" s="1903"/>
      <c r="V60" s="1903"/>
      <c r="W60" s="1903"/>
      <c r="X60" s="1903"/>
      <c r="Y60" s="1903"/>
      <c r="Z60" s="1903"/>
      <c r="AA60" s="1903"/>
      <c r="AB60" s="1903"/>
      <c r="AC60" s="1903"/>
    </row>
    <row r="61" spans="1:29" s="1201" customFormat="1" ht="15.75" thickBot="1">
      <c r="A61" s="643" t="s">
        <v>567</v>
      </c>
      <c r="B61" s="644"/>
      <c r="C61" s="645"/>
      <c r="D61" s="646"/>
      <c r="E61" s="646"/>
      <c r="F61" s="646"/>
      <c r="G61" s="646"/>
      <c r="H61" s="646"/>
      <c r="I61" s="646"/>
      <c r="J61" s="646"/>
      <c r="K61" s="646"/>
      <c r="L61" s="646"/>
      <c r="M61" s="647"/>
      <c r="N61" s="646"/>
      <c r="O61" s="647"/>
      <c r="P61" s="2090"/>
      <c r="Q61" s="2037"/>
      <c r="R61" s="1903"/>
      <c r="S61" s="1903"/>
      <c r="T61" s="1903"/>
      <c r="U61" s="1903"/>
      <c r="V61" s="1903"/>
      <c r="W61" s="1903"/>
      <c r="X61" s="1903"/>
      <c r="Y61" s="1903"/>
      <c r="Z61" s="1903"/>
      <c r="AA61" s="1903"/>
      <c r="AB61" s="1903"/>
      <c r="AC61" s="1903"/>
    </row>
    <row r="62" spans="1:29" s="1201" customFormat="1" ht="15">
      <c r="A62" s="649" t="s">
        <v>523</v>
      </c>
      <c r="B62" s="638"/>
      <c r="C62" s="650" t="s">
        <v>568</v>
      </c>
      <c r="D62" s="651"/>
      <c r="E62" s="651"/>
      <c r="F62" s="651"/>
      <c r="G62" s="651"/>
      <c r="H62" s="651"/>
      <c r="I62" s="651"/>
      <c r="J62" s="651"/>
      <c r="K62" s="651"/>
      <c r="L62" s="652"/>
      <c r="M62" s="653"/>
      <c r="N62" s="2041"/>
      <c r="O62" s="2041"/>
      <c r="P62" s="2091"/>
      <c r="Q62" s="2037"/>
      <c r="R62" s="1903"/>
      <c r="S62" s="1903"/>
      <c r="T62" s="1903"/>
      <c r="U62" s="1903"/>
      <c r="V62" s="1903"/>
      <c r="W62" s="1903"/>
      <c r="X62" s="1903"/>
      <c r="Y62" s="1903"/>
      <c r="Z62" s="1903"/>
      <c r="AA62" s="1903"/>
      <c r="AB62" s="1903"/>
      <c r="AC62" s="1903"/>
    </row>
    <row r="63" spans="1:29" s="1201" customFormat="1" ht="15.75" thickBot="1">
      <c r="A63" s="649"/>
      <c r="B63" s="638"/>
      <c r="C63" s="876">
        <v>100</v>
      </c>
      <c r="D63" s="640"/>
      <c r="E63" s="640"/>
      <c r="F63" s="640"/>
      <c r="G63" s="640"/>
      <c r="H63" s="640"/>
      <c r="I63" s="640"/>
      <c r="J63" s="640"/>
      <c r="K63" s="640"/>
      <c r="L63" s="640"/>
      <c r="M63" s="642"/>
      <c r="N63" s="2041"/>
      <c r="O63" s="2041"/>
      <c r="P63" s="2090"/>
      <c r="Q63" s="2037"/>
      <c r="R63" s="1903"/>
      <c r="S63" s="1903"/>
      <c r="T63" s="1903"/>
      <c r="U63" s="1903"/>
      <c r="V63" s="1903"/>
      <c r="W63" s="1903"/>
      <c r="X63" s="1903"/>
      <c r="Y63" s="1903"/>
      <c r="Z63" s="1903"/>
      <c r="AA63" s="1903"/>
      <c r="AB63" s="1903"/>
      <c r="AC63" s="1903"/>
    </row>
    <row r="64" spans="1:29">
      <c r="A64" s="654" t="s">
        <v>569</v>
      </c>
      <c r="B64" s="655" t="s">
        <v>526</v>
      </c>
      <c r="C64" s="694" t="str">
        <f>C9</f>
        <v>办公</v>
      </c>
      <c r="D64" s="590"/>
      <c r="E64" s="590"/>
      <c r="F64" s="590"/>
      <c r="G64" s="590"/>
      <c r="H64" s="590"/>
      <c r="I64" s="590"/>
      <c r="J64" s="590"/>
      <c r="K64" s="656"/>
      <c r="L64" s="657"/>
      <c r="M64" s="658"/>
      <c r="N64" s="2043"/>
      <c r="O64" s="2043"/>
      <c r="P64" s="2092"/>
      <c r="Q64" s="2037"/>
      <c r="R64" s="2025"/>
      <c r="S64" s="2025"/>
      <c r="T64" s="2025"/>
      <c r="U64" s="2025"/>
      <c r="V64" s="2025"/>
      <c r="W64" s="2025"/>
      <c r="X64" s="2025"/>
      <c r="Y64" s="2025"/>
      <c r="Z64" s="2025"/>
      <c r="AA64" s="2025"/>
      <c r="AB64" s="2025"/>
      <c r="AC64" s="2025"/>
    </row>
    <row r="65" spans="1:29" ht="15.75" thickBot="1">
      <c r="A65" s="659"/>
      <c r="B65" s="660"/>
      <c r="C65" s="661"/>
      <c r="D65" s="661"/>
      <c r="E65" s="661"/>
      <c r="F65" s="661"/>
      <c r="G65" s="661"/>
      <c r="H65" s="661"/>
      <c r="I65" s="661"/>
      <c r="J65" s="661"/>
      <c r="K65" s="661"/>
      <c r="L65" s="661"/>
      <c r="M65" s="662"/>
      <c r="N65" s="2045"/>
      <c r="O65" s="2045"/>
      <c r="P65" s="2092"/>
      <c r="Q65" s="2037"/>
      <c r="R65" s="2025"/>
      <c r="S65" s="2025"/>
      <c r="T65" s="2025"/>
      <c r="U65" s="2025"/>
      <c r="V65" s="2025"/>
      <c r="W65" s="2025"/>
      <c r="X65" s="2025"/>
      <c r="Y65" s="2025"/>
      <c r="Z65" s="2025"/>
      <c r="AA65" s="2025"/>
      <c r="AB65" s="2025"/>
      <c r="AC65" s="2025"/>
    </row>
    <row r="66" spans="1:29" ht="27.75" thickTop="1">
      <c r="A66" s="659"/>
      <c r="B66" s="663" t="s">
        <v>529</v>
      </c>
      <c r="C66" s="664" t="s">
        <v>729</v>
      </c>
      <c r="D66" s="664" t="s">
        <v>730</v>
      </c>
      <c r="E66" s="664" t="s">
        <v>731</v>
      </c>
      <c r="F66" s="664" t="s">
        <v>732</v>
      </c>
      <c r="G66" s="664" t="s">
        <v>733</v>
      </c>
      <c r="H66" s="664" t="s">
        <v>734</v>
      </c>
      <c r="I66" s="664" t="s">
        <v>735</v>
      </c>
      <c r="J66" s="664"/>
      <c r="K66" s="665"/>
      <c r="L66" s="666"/>
      <c r="M66" s="667"/>
      <c r="N66" s="2043"/>
      <c r="O66" s="2043"/>
      <c r="P66" s="2092"/>
      <c r="Q66" s="2037"/>
      <c r="R66" s="2025"/>
      <c r="S66" s="2025"/>
      <c r="T66" s="2025"/>
      <c r="U66" s="2025"/>
      <c r="V66" s="2025"/>
      <c r="W66" s="2025"/>
      <c r="X66" s="2025"/>
      <c r="Y66" s="2025"/>
      <c r="Z66" s="2025"/>
      <c r="AA66" s="2025"/>
      <c r="AB66" s="2025"/>
      <c r="AC66" s="20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5"/>
      <c r="O67" s="2045"/>
      <c r="P67" s="2092"/>
      <c r="Q67" s="2037"/>
      <c r="R67" s="2025"/>
      <c r="S67" s="2025"/>
      <c r="T67" s="2025"/>
      <c r="U67" s="2025"/>
      <c r="V67" s="2025"/>
      <c r="W67" s="2025"/>
      <c r="X67" s="2025"/>
      <c r="Y67" s="2025"/>
      <c r="Z67" s="2025"/>
      <c r="AA67" s="2025"/>
      <c r="AB67" s="2025"/>
      <c r="AC67" s="2025"/>
    </row>
    <row r="68" spans="1:29" ht="15.7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59"/>
      <c r="B69" s="673"/>
      <c r="C69" s="533">
        <v>0</v>
      </c>
      <c r="D69" s="533">
        <v>1</v>
      </c>
      <c r="E69" s="533">
        <v>2</v>
      </c>
      <c r="F69" s="533">
        <v>3</v>
      </c>
      <c r="G69" s="533"/>
      <c r="H69" s="533"/>
      <c r="I69" s="533"/>
      <c r="J69" s="533"/>
      <c r="K69" s="674"/>
      <c r="L69" s="675"/>
      <c r="M69" s="676"/>
      <c r="N69" s="2043"/>
      <c r="O69" s="2043"/>
      <c r="P69" s="2092"/>
      <c r="Q69" s="2037"/>
      <c r="R69" s="2025"/>
      <c r="S69" s="2025"/>
      <c r="T69" s="2025"/>
      <c r="U69" s="2025"/>
      <c r="V69" s="2025"/>
      <c r="W69" s="2025"/>
      <c r="X69" s="2025"/>
      <c r="Y69" s="2025"/>
      <c r="Z69" s="2025"/>
      <c r="AA69" s="2025"/>
      <c r="AB69" s="2025"/>
      <c r="AC69" s="20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7"/>
      <c r="B71" s="663">
        <f>B12</f>
        <v>111</v>
      </c>
      <c r="C71" s="678"/>
      <c r="D71" s="678"/>
      <c r="E71" s="678"/>
      <c r="F71" s="678"/>
      <c r="G71" s="678"/>
      <c r="H71" s="679"/>
      <c r="I71" s="679"/>
      <c r="J71" s="679"/>
      <c r="K71" s="679"/>
      <c r="L71" s="680"/>
      <c r="M71" s="681"/>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7"/>
      <c r="B72" s="668"/>
      <c r="C72" s="682"/>
      <c r="D72" s="661"/>
      <c r="E72" s="661"/>
      <c r="F72" s="661"/>
      <c r="G72" s="661"/>
      <c r="H72" s="661"/>
      <c r="I72" s="661"/>
      <c r="J72" s="661"/>
      <c r="K72" s="661"/>
      <c r="L72" s="661"/>
      <c r="M72" s="662"/>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7"/>
      <c r="B73" s="663">
        <f>B13</f>
        <v>111</v>
      </c>
      <c r="C73" s="678"/>
      <c r="D73" s="678"/>
      <c r="E73" s="678"/>
      <c r="F73" s="678"/>
      <c r="G73" s="678"/>
      <c r="H73" s="679"/>
      <c r="I73" s="679"/>
      <c r="J73" s="679"/>
      <c r="K73" s="679"/>
      <c r="L73" s="680"/>
      <c r="M73" s="681"/>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7"/>
      <c r="B74" s="668"/>
      <c r="C74" s="682"/>
      <c r="D74" s="682"/>
      <c r="E74" s="682"/>
      <c r="F74" s="682"/>
      <c r="G74" s="682"/>
      <c r="H74" s="683"/>
      <c r="I74" s="683"/>
      <c r="J74" s="683"/>
      <c r="K74" s="683"/>
      <c r="L74" s="683"/>
      <c r="M74" s="684"/>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7"/>
      <c r="B75" s="671">
        <f>B14</f>
        <v>111</v>
      </c>
      <c r="C75" s="651"/>
      <c r="D75" s="651"/>
      <c r="E75" s="651"/>
      <c r="F75" s="651"/>
      <c r="G75" s="651"/>
      <c r="H75" s="685"/>
      <c r="I75" s="685"/>
      <c r="J75" s="685"/>
      <c r="K75" s="685"/>
      <c r="L75" s="686"/>
      <c r="M75" s="687"/>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8"/>
      <c r="B76" s="689"/>
      <c r="C76" s="690"/>
      <c r="D76" s="690"/>
      <c r="E76" s="690"/>
      <c r="F76" s="690"/>
      <c r="G76" s="690"/>
      <c r="H76" s="691"/>
      <c r="I76" s="691"/>
      <c r="J76" s="691"/>
      <c r="K76" s="691"/>
      <c r="L76" s="691"/>
      <c r="M76" s="692"/>
      <c r="N76" s="2046"/>
      <c r="O76" s="2046"/>
      <c r="P76" s="2093"/>
      <c r="Q76" s="2048"/>
      <c r="R76" s="2049"/>
      <c r="S76" s="2049"/>
      <c r="T76" s="2049"/>
      <c r="U76" s="2049"/>
      <c r="V76" s="2049"/>
      <c r="W76" s="2049"/>
      <c r="X76" s="2049"/>
      <c r="Y76" s="2049"/>
      <c r="Z76" s="2049"/>
      <c r="AA76" s="2049"/>
      <c r="AB76" s="2049"/>
      <c r="AC76" s="2049"/>
    </row>
    <row r="77" spans="1:29">
      <c r="A77" s="654" t="s">
        <v>531</v>
      </c>
      <c r="B77" s="655" t="s">
        <v>577</v>
      </c>
      <c r="C77" s="693" t="s">
        <v>571</v>
      </c>
      <c r="D77" s="693" t="s">
        <v>572</v>
      </c>
      <c r="E77" s="693" t="s">
        <v>573</v>
      </c>
      <c r="F77" s="693" t="s">
        <v>574</v>
      </c>
      <c r="G77" s="693" t="s">
        <v>575</v>
      </c>
      <c r="H77" s="694"/>
      <c r="I77" s="694"/>
      <c r="J77" s="694"/>
      <c r="K77" s="695"/>
      <c r="L77" s="696"/>
      <c r="M77" s="697"/>
      <c r="N77" s="2043"/>
      <c r="O77" s="2043"/>
      <c r="P77" s="2096"/>
      <c r="Q77" s="2037"/>
      <c r="R77" s="2025"/>
      <c r="S77" s="2025"/>
      <c r="T77" s="2025"/>
      <c r="U77" s="2025"/>
      <c r="V77" s="2025"/>
      <c r="W77" s="2025"/>
      <c r="X77" s="2025"/>
      <c r="Y77" s="2025"/>
      <c r="Z77" s="2025"/>
      <c r="AA77" s="2025"/>
      <c r="AB77" s="2025"/>
      <c r="AC77" s="2025"/>
    </row>
    <row r="78" spans="1:29" ht="15.75" thickBot="1">
      <c r="A78" s="659"/>
      <c r="B78" s="668"/>
      <c r="C78" s="669">
        <v>100</v>
      </c>
      <c r="D78" s="669">
        <f>C78-$K15</f>
        <v>98</v>
      </c>
      <c r="E78" s="669">
        <f>D78-$K15</f>
        <v>96</v>
      </c>
      <c r="F78" s="669">
        <f>E78-$K15</f>
        <v>94</v>
      </c>
      <c r="G78" s="669">
        <f>F78-$K15</f>
        <v>92</v>
      </c>
      <c r="H78" s="669"/>
      <c r="I78" s="669"/>
      <c r="J78" s="669"/>
      <c r="K78" s="669"/>
      <c r="L78" s="669"/>
      <c r="M78" s="670"/>
      <c r="N78" s="2045"/>
      <c r="O78" s="2045"/>
      <c r="P78" s="2092"/>
      <c r="Q78" s="2037"/>
      <c r="R78" s="2025"/>
      <c r="S78" s="2025"/>
      <c r="T78" s="2025"/>
      <c r="U78" s="2025"/>
      <c r="V78" s="2025"/>
      <c r="W78" s="2025"/>
      <c r="X78" s="2025"/>
      <c r="Y78" s="2025"/>
      <c r="Z78" s="2025"/>
      <c r="AA78" s="2025"/>
      <c r="AB78" s="2025"/>
      <c r="AC78" s="2025"/>
    </row>
    <row r="79" spans="1:29" ht="15.75" thickTop="1">
      <c r="A79" s="659"/>
      <c r="B79" s="663" t="s">
        <v>578</v>
      </c>
      <c r="C79" s="698" t="s">
        <v>571</v>
      </c>
      <c r="D79" s="698" t="s">
        <v>572</v>
      </c>
      <c r="E79" s="698" t="s">
        <v>573</v>
      </c>
      <c r="F79" s="698" t="s">
        <v>574</v>
      </c>
      <c r="G79" s="698" t="s">
        <v>575</v>
      </c>
      <c r="H79" s="664"/>
      <c r="I79" s="664"/>
      <c r="J79" s="664"/>
      <c r="K79" s="665"/>
      <c r="L79" s="666"/>
      <c r="M79" s="667"/>
      <c r="N79" s="2043"/>
      <c r="O79" s="2043"/>
      <c r="P79" s="2092"/>
      <c r="Q79" s="2037"/>
      <c r="R79" s="2025"/>
      <c r="S79" s="2025"/>
      <c r="T79" s="2025"/>
      <c r="U79" s="2025"/>
      <c r="V79" s="2025"/>
      <c r="W79" s="2025"/>
      <c r="X79" s="2025"/>
      <c r="Y79" s="2025"/>
      <c r="Z79" s="2025"/>
      <c r="AA79" s="2025"/>
      <c r="AB79" s="2025"/>
      <c r="AC79" s="2025"/>
    </row>
    <row r="80" spans="1:29" ht="15.75" thickBot="1">
      <c r="A80" s="659"/>
      <c r="B80" s="668"/>
      <c r="C80" s="669">
        <v>100</v>
      </c>
      <c r="D80" s="669">
        <f>C80-$K17</f>
        <v>97</v>
      </c>
      <c r="E80" s="669">
        <f>D80-$K17</f>
        <v>94</v>
      </c>
      <c r="F80" s="669">
        <f>E80-$K17</f>
        <v>91</v>
      </c>
      <c r="G80" s="669">
        <f>F80-$K17</f>
        <v>88</v>
      </c>
      <c r="H80" s="669"/>
      <c r="I80" s="669"/>
      <c r="J80" s="669"/>
      <c r="K80" s="669"/>
      <c r="L80" s="669"/>
      <c r="M80" s="670"/>
      <c r="N80" s="2045"/>
      <c r="O80" s="2045"/>
      <c r="P80" s="2092"/>
      <c r="Q80" s="2037"/>
      <c r="R80" s="2025"/>
      <c r="S80" s="2025"/>
      <c r="T80" s="2025"/>
      <c r="U80" s="2025"/>
      <c r="V80" s="2025"/>
      <c r="W80" s="2025"/>
      <c r="X80" s="2025"/>
      <c r="Y80" s="2025"/>
      <c r="Z80" s="2025"/>
      <c r="AA80" s="2025"/>
      <c r="AB80" s="2025"/>
      <c r="AC80" s="2025"/>
    </row>
    <row r="81" spans="1:29" ht="15.75" thickTop="1">
      <c r="A81" s="659"/>
      <c r="B81" s="1808" t="s">
        <v>2536</v>
      </c>
      <c r="C81" s="698" t="s">
        <v>571</v>
      </c>
      <c r="D81" s="698" t="s">
        <v>572</v>
      </c>
      <c r="E81" s="698" t="s">
        <v>573</v>
      </c>
      <c r="F81" s="698" t="s">
        <v>574</v>
      </c>
      <c r="G81" s="698" t="s">
        <v>575</v>
      </c>
      <c r="H81" s="664"/>
      <c r="I81" s="664"/>
      <c r="J81" s="664"/>
      <c r="K81" s="665"/>
      <c r="L81" s="666"/>
      <c r="M81" s="667"/>
      <c r="N81" s="2043"/>
      <c r="O81" s="2043"/>
      <c r="P81" s="2092"/>
      <c r="Q81" s="2037"/>
      <c r="R81" s="2025"/>
      <c r="S81" s="2025"/>
      <c r="T81" s="2025"/>
      <c r="U81" s="2025"/>
      <c r="V81" s="2025"/>
      <c r="W81" s="2025"/>
      <c r="X81" s="2025"/>
      <c r="Y81" s="2025"/>
      <c r="Z81" s="2025"/>
      <c r="AA81" s="2025"/>
      <c r="AB81" s="2025"/>
      <c r="AC81" s="2025"/>
    </row>
    <row r="82" spans="1:29" ht="15.75" thickBot="1">
      <c r="A82" s="659"/>
      <c r="B82" s="668"/>
      <c r="C82" s="669">
        <v>100</v>
      </c>
      <c r="D82" s="669">
        <f>C82-$K19</f>
        <v>98</v>
      </c>
      <c r="E82" s="669">
        <f>D82-$K19</f>
        <v>96</v>
      </c>
      <c r="F82" s="669">
        <f>E82-$K19</f>
        <v>94</v>
      </c>
      <c r="G82" s="669">
        <f>F82-$K19</f>
        <v>92</v>
      </c>
      <c r="H82" s="669"/>
      <c r="I82" s="669"/>
      <c r="J82" s="669"/>
      <c r="K82" s="669"/>
      <c r="L82" s="669"/>
      <c r="M82" s="670"/>
      <c r="N82" s="2045"/>
      <c r="O82" s="2045"/>
      <c r="P82" s="2092"/>
      <c r="Q82" s="2037"/>
      <c r="R82" s="2025"/>
      <c r="S82" s="2025"/>
      <c r="T82" s="2025"/>
      <c r="U82" s="2025"/>
      <c r="V82" s="2025"/>
      <c r="W82" s="2025"/>
      <c r="X82" s="2025"/>
      <c r="Y82" s="2025"/>
      <c r="Z82" s="2025"/>
      <c r="AA82" s="2025"/>
      <c r="AB82" s="2025"/>
      <c r="AC82" s="2025"/>
    </row>
    <row r="83" spans="1:29" ht="15.75" thickTop="1">
      <c r="A83" s="659"/>
      <c r="B83" s="2439" t="s">
        <v>2537</v>
      </c>
      <c r="C83" s="2440" t="s">
        <v>2538</v>
      </c>
      <c r="D83" s="2440" t="s">
        <v>2539</v>
      </c>
      <c r="E83" s="2440" t="s">
        <v>2540</v>
      </c>
      <c r="F83" s="2440" t="s">
        <v>2541</v>
      </c>
      <c r="G83" s="2440" t="s">
        <v>2542</v>
      </c>
      <c r="H83" s="664"/>
      <c r="I83" s="664"/>
      <c r="J83" s="664"/>
      <c r="K83" s="664"/>
      <c r="L83" s="664"/>
      <c r="M83" s="2443"/>
      <c r="N83" s="2045"/>
      <c r="O83" s="2045"/>
      <c r="P83" s="2092"/>
      <c r="Q83" s="2037"/>
      <c r="R83" s="2025"/>
      <c r="S83" s="2025"/>
      <c r="T83" s="2025"/>
      <c r="U83" s="2025"/>
      <c r="V83" s="2025"/>
      <c r="W83" s="2025"/>
      <c r="X83" s="2025"/>
      <c r="Y83" s="2025"/>
      <c r="Z83" s="2025"/>
      <c r="AA83" s="2025"/>
      <c r="AB83" s="2025"/>
      <c r="AC83" s="2025"/>
    </row>
    <row r="84" spans="1:29" ht="15.75" thickBot="1">
      <c r="A84" s="659"/>
      <c r="B84" s="671"/>
      <c r="C84" s="669">
        <v>100</v>
      </c>
      <c r="D84" s="669">
        <f>C84-$K21</f>
        <v>98</v>
      </c>
      <c r="E84" s="669">
        <f>D84-$K21</f>
        <v>96</v>
      </c>
      <c r="F84" s="669">
        <f>E84-$K21</f>
        <v>94</v>
      </c>
      <c r="G84" s="669">
        <f>F84-$K21</f>
        <v>92</v>
      </c>
      <c r="H84" s="922"/>
      <c r="I84" s="922"/>
      <c r="J84" s="922"/>
      <c r="K84" s="922"/>
      <c r="L84" s="922"/>
      <c r="M84" s="551"/>
      <c r="N84" s="2045"/>
      <c r="O84" s="2045"/>
      <c r="P84" s="2092"/>
      <c r="Q84" s="2037"/>
      <c r="R84" s="2025"/>
      <c r="S84" s="2025"/>
      <c r="T84" s="2025"/>
      <c r="U84" s="2025"/>
      <c r="V84" s="2025"/>
      <c r="W84" s="2025"/>
      <c r="X84" s="2025"/>
      <c r="Y84" s="2025"/>
      <c r="Z84" s="2025"/>
      <c r="AA84" s="2025"/>
      <c r="AB84" s="2025"/>
      <c r="AC84" s="2025"/>
    </row>
    <row r="85" spans="1:29" ht="15.75" thickTop="1">
      <c r="A85" s="659"/>
      <c r="B85" s="663" t="s">
        <v>776</v>
      </c>
      <c r="C85" s="698" t="s">
        <v>571</v>
      </c>
      <c r="D85" s="698" t="s">
        <v>572</v>
      </c>
      <c r="E85" s="698" t="s">
        <v>573</v>
      </c>
      <c r="F85" s="698" t="s">
        <v>574</v>
      </c>
      <c r="G85" s="698" t="s">
        <v>575</v>
      </c>
      <c r="H85" s="664"/>
      <c r="I85" s="664"/>
      <c r="J85" s="664"/>
      <c r="K85" s="665"/>
      <c r="L85" s="666"/>
      <c r="M85" s="667"/>
      <c r="N85" s="2043"/>
      <c r="O85" s="2043"/>
      <c r="P85" s="2092"/>
      <c r="Q85" s="2037"/>
      <c r="R85" s="2025"/>
      <c r="S85" s="2025"/>
      <c r="T85" s="2025"/>
      <c r="U85" s="2025"/>
      <c r="V85" s="2025"/>
      <c r="W85" s="2025"/>
      <c r="X85" s="2025"/>
      <c r="Y85" s="2025"/>
      <c r="Z85" s="2025"/>
      <c r="AA85" s="2025"/>
      <c r="AB85" s="2025"/>
      <c r="AC85" s="2025"/>
    </row>
    <row r="86" spans="1:29" ht="15.75" thickBot="1">
      <c r="A86" s="659"/>
      <c r="B86" s="668"/>
      <c r="C86" s="669">
        <v>100</v>
      </c>
      <c r="D86" s="669">
        <f>C86-$K23</f>
        <v>98</v>
      </c>
      <c r="E86" s="669">
        <f>D86-$K23</f>
        <v>96</v>
      </c>
      <c r="F86" s="669">
        <f>E86-$K23</f>
        <v>94</v>
      </c>
      <c r="G86" s="669">
        <f>F86-$K23</f>
        <v>92</v>
      </c>
      <c r="H86" s="669"/>
      <c r="I86" s="669"/>
      <c r="J86" s="669"/>
      <c r="K86" s="669"/>
      <c r="L86" s="669"/>
      <c r="M86" s="670"/>
      <c r="N86" s="2045"/>
      <c r="O86" s="2045"/>
      <c r="P86" s="2092"/>
      <c r="Q86" s="2037"/>
      <c r="R86" s="2025"/>
      <c r="S86" s="2025"/>
      <c r="T86" s="2025"/>
      <c r="U86" s="2025"/>
      <c r="V86" s="2025"/>
      <c r="W86" s="2025"/>
      <c r="X86" s="2025"/>
      <c r="Y86" s="2025"/>
      <c r="Z86" s="2025"/>
      <c r="AA86" s="2025"/>
      <c r="AB86" s="2025"/>
      <c r="AC86" s="2025"/>
    </row>
    <row r="87" spans="1:29" s="1201" customFormat="1" ht="27.75" thickTop="1">
      <c r="A87" s="699"/>
      <c r="B87" s="663" t="s">
        <v>777</v>
      </c>
      <c r="C87" s="3344" t="s">
        <v>3084</v>
      </c>
      <c r="D87" s="3344" t="s">
        <v>3085</v>
      </c>
      <c r="E87" s="3344" t="s">
        <v>3087</v>
      </c>
      <c r="F87" s="3344" t="s">
        <v>3089</v>
      </c>
      <c r="G87" s="3344" t="s">
        <v>3090</v>
      </c>
      <c r="H87" s="678"/>
      <c r="I87" s="678"/>
      <c r="J87" s="678"/>
      <c r="K87" s="678"/>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699"/>
      <c r="B88" s="668"/>
      <c r="C88" s="702">
        <v>100</v>
      </c>
      <c r="D88" s="669">
        <f t="shared" ref="D88:M88" si="19">C88-$K25</f>
        <v>98</v>
      </c>
      <c r="E88" s="669">
        <f t="shared" si="19"/>
        <v>96</v>
      </c>
      <c r="F88" s="669">
        <f t="shared" si="19"/>
        <v>94</v>
      </c>
      <c r="G88" s="669">
        <f t="shared" si="19"/>
        <v>92</v>
      </c>
      <c r="H88" s="669">
        <f t="shared" si="19"/>
        <v>90</v>
      </c>
      <c r="I88" s="669">
        <f t="shared" si="19"/>
        <v>88</v>
      </c>
      <c r="J88" s="669">
        <f t="shared" si="19"/>
        <v>86</v>
      </c>
      <c r="K88" s="669">
        <f t="shared" si="19"/>
        <v>84</v>
      </c>
      <c r="L88" s="669">
        <f t="shared" si="19"/>
        <v>82</v>
      </c>
      <c r="M88" s="669">
        <f t="shared" si="19"/>
        <v>80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699"/>
      <c r="B89" s="663" t="str">
        <f>B27</f>
        <v>楼层</v>
      </c>
      <c r="C89" s="678">
        <v>1</v>
      </c>
      <c r="D89" s="678"/>
      <c r="E89" s="678"/>
      <c r="F89" s="879"/>
      <c r="G89" s="678"/>
      <c r="H89" s="678"/>
      <c r="I89" s="678"/>
      <c r="J89" s="678"/>
      <c r="K89" s="678"/>
      <c r="L89" s="678"/>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7"/>
      <c r="B91" s="663" t="str">
        <f>B28</f>
        <v>朝向</v>
      </c>
      <c r="C91" s="678">
        <v>1</v>
      </c>
      <c r="D91" s="678"/>
      <c r="E91" s="678"/>
      <c r="F91" s="678"/>
      <c r="G91" s="678"/>
      <c r="H91" s="679"/>
      <c r="I91" s="679"/>
      <c r="J91" s="679"/>
      <c r="K91" s="679"/>
      <c r="L91" s="680"/>
      <c r="M91" s="681"/>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59"/>
      <c r="B93" s="663">
        <f>B29</f>
        <v>111</v>
      </c>
      <c r="C93" s="678"/>
      <c r="D93" s="678"/>
      <c r="E93" s="678"/>
      <c r="F93" s="678"/>
      <c r="G93" s="678"/>
      <c r="H93" s="678"/>
      <c r="I93" s="678"/>
      <c r="J93" s="678"/>
      <c r="K93" s="678"/>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61"/>
      <c r="H94" s="661"/>
      <c r="I94" s="661"/>
      <c r="J94" s="661"/>
      <c r="K94" s="661"/>
      <c r="L94" s="661"/>
      <c r="M94" s="662"/>
      <c r="N94" s="2045"/>
      <c r="O94" s="2045"/>
      <c r="P94" s="2092"/>
      <c r="Q94" s="2037"/>
      <c r="R94" s="2025"/>
      <c r="S94" s="2025"/>
      <c r="T94" s="2025"/>
      <c r="U94" s="2025"/>
      <c r="V94" s="2025"/>
      <c r="W94" s="2025"/>
      <c r="X94" s="2025"/>
      <c r="Y94" s="2025"/>
      <c r="Z94" s="2025"/>
      <c r="AA94" s="2025"/>
      <c r="AB94" s="2025"/>
      <c r="AC94" s="2025"/>
    </row>
    <row r="95" spans="1:29" ht="15.75" thickTop="1">
      <c r="A95" s="659"/>
      <c r="B95" s="663">
        <f>B30</f>
        <v>111</v>
      </c>
      <c r="C95" s="678"/>
      <c r="D95" s="678"/>
      <c r="E95" s="678"/>
      <c r="F95" s="678"/>
      <c r="G95" s="708"/>
      <c r="H95" s="708"/>
      <c r="I95" s="708"/>
      <c r="J95" s="708"/>
      <c r="K95" s="709"/>
      <c r="L95" s="710"/>
      <c r="M95" s="711"/>
      <c r="N95" s="2043"/>
      <c r="O95" s="2043"/>
      <c r="P95" s="2092"/>
      <c r="Q95" s="2037"/>
      <c r="R95" s="2025"/>
      <c r="S95" s="2025"/>
      <c r="T95" s="2025"/>
      <c r="U95" s="2025"/>
      <c r="V95" s="2025"/>
      <c r="W95" s="2025"/>
      <c r="X95" s="2025"/>
      <c r="Y95" s="2025"/>
      <c r="Z95" s="2025"/>
      <c r="AA95" s="2025"/>
      <c r="AB95" s="2025"/>
      <c r="AC95" s="2025"/>
    </row>
    <row r="96" spans="1:29" ht="15.75" thickBot="1">
      <c r="A96" s="659"/>
      <c r="B96" s="668"/>
      <c r="C96" s="682"/>
      <c r="D96" s="682"/>
      <c r="E96" s="682"/>
      <c r="F96" s="682"/>
      <c r="G96" s="661"/>
      <c r="H96" s="661"/>
      <c r="I96" s="661"/>
      <c r="J96" s="661"/>
      <c r="K96" s="661"/>
      <c r="L96" s="661"/>
      <c r="M96" s="662"/>
      <c r="N96" s="2045"/>
      <c r="O96" s="2045"/>
      <c r="P96" s="2092"/>
      <c r="Q96" s="2037"/>
      <c r="R96" s="2025"/>
      <c r="S96" s="2025"/>
      <c r="T96" s="2025"/>
      <c r="U96" s="2025"/>
      <c r="V96" s="2025"/>
      <c r="W96" s="2025"/>
      <c r="X96" s="2025"/>
      <c r="Y96" s="2025"/>
      <c r="Z96" s="2025"/>
      <c r="AA96" s="2025"/>
      <c r="AB96" s="2025"/>
      <c r="AC96" s="2025"/>
    </row>
    <row r="97" spans="1:29" ht="15.75" thickTop="1">
      <c r="A97" s="659"/>
      <c r="B97" s="663">
        <f>B31</f>
        <v>111</v>
      </c>
      <c r="C97" s="678"/>
      <c r="D97" s="678"/>
      <c r="E97" s="678"/>
      <c r="F97" s="678"/>
      <c r="G97" s="708"/>
      <c r="H97" s="708"/>
      <c r="I97" s="708"/>
      <c r="J97" s="708"/>
      <c r="K97" s="709"/>
      <c r="L97" s="710"/>
      <c r="M97" s="711"/>
      <c r="N97" s="2043"/>
      <c r="O97" s="2043"/>
      <c r="P97" s="2092"/>
      <c r="Q97" s="2037"/>
      <c r="R97" s="2025"/>
      <c r="S97" s="2025"/>
      <c r="T97" s="2025"/>
      <c r="U97" s="2025"/>
      <c r="V97" s="2025"/>
      <c r="W97" s="2025"/>
      <c r="X97" s="2025"/>
      <c r="Y97" s="2025"/>
      <c r="Z97" s="2025"/>
      <c r="AA97" s="2025"/>
      <c r="AB97" s="2025"/>
      <c r="AC97" s="2025"/>
    </row>
    <row r="98" spans="1:29" ht="15.75" thickBot="1">
      <c r="A98" s="659"/>
      <c r="B98" s="668"/>
      <c r="C98" s="682"/>
      <c r="D98" s="661"/>
      <c r="E98" s="661"/>
      <c r="F98" s="661"/>
      <c r="G98" s="661"/>
      <c r="H98" s="661"/>
      <c r="I98" s="661"/>
      <c r="J98" s="661"/>
      <c r="K98" s="661"/>
      <c r="L98" s="661"/>
      <c r="M98" s="662"/>
      <c r="N98" s="2045"/>
      <c r="O98" s="2045"/>
      <c r="P98" s="2092"/>
      <c r="Q98" s="2037"/>
      <c r="R98" s="2025"/>
      <c r="S98" s="2025"/>
      <c r="T98" s="2025"/>
      <c r="U98" s="2025"/>
      <c r="V98" s="2025"/>
      <c r="W98" s="2025"/>
      <c r="X98" s="2025"/>
      <c r="Y98" s="2025"/>
      <c r="Z98" s="2025"/>
      <c r="AA98" s="2025"/>
      <c r="AB98" s="2025"/>
      <c r="AC98" s="2025"/>
    </row>
    <row r="99" spans="1:29" ht="15.75" thickTop="1">
      <c r="A99" s="659"/>
      <c r="B99" s="671">
        <f>B32</f>
        <v>111</v>
      </c>
      <c r="C99" s="651"/>
      <c r="D99" s="651"/>
      <c r="E99" s="651"/>
      <c r="F99" s="651"/>
      <c r="G99" s="712"/>
      <c r="H99" s="712"/>
      <c r="I99" s="712"/>
      <c r="J99" s="712"/>
      <c r="K99" s="713"/>
      <c r="L99" s="714"/>
      <c r="M99" s="715"/>
      <c r="N99" s="2043"/>
      <c r="O99" s="2043"/>
      <c r="P99" s="2092"/>
      <c r="Q99" s="2037"/>
      <c r="R99" s="2025"/>
      <c r="S99" s="2025"/>
      <c r="T99" s="2025"/>
      <c r="U99" s="2025"/>
      <c r="V99" s="2025"/>
      <c r="W99" s="2025"/>
      <c r="X99" s="2025"/>
      <c r="Y99" s="2025"/>
      <c r="Z99" s="2025"/>
      <c r="AA99" s="2025"/>
      <c r="AB99" s="2025"/>
      <c r="AC99" s="2025"/>
    </row>
    <row r="100" spans="1:29" ht="15.75" thickBot="1">
      <c r="A100" s="880"/>
      <c r="B100" s="689"/>
      <c r="C100" s="690"/>
      <c r="D100" s="690"/>
      <c r="E100" s="690"/>
      <c r="F100" s="690"/>
      <c r="G100" s="716"/>
      <c r="H100" s="716"/>
      <c r="I100" s="716"/>
      <c r="J100" s="716"/>
      <c r="K100" s="716"/>
      <c r="L100" s="716"/>
      <c r="M100" s="717"/>
      <c r="N100" s="2045"/>
      <c r="O100" s="2045"/>
      <c r="P100" s="2092"/>
      <c r="Q100" s="2037"/>
      <c r="R100" s="2025"/>
      <c r="S100" s="2025"/>
      <c r="T100" s="2025"/>
      <c r="U100" s="2025"/>
      <c r="V100" s="2025"/>
      <c r="W100" s="2025"/>
      <c r="X100" s="2025"/>
      <c r="Y100" s="2025"/>
      <c r="Z100" s="2025"/>
      <c r="AA100" s="2025"/>
      <c r="AB100" s="2025"/>
      <c r="AC100" s="2025"/>
    </row>
    <row r="101" spans="1:29">
      <c r="A101" s="654" t="s">
        <v>543</v>
      </c>
      <c r="B101" s="655" t="s">
        <v>739</v>
      </c>
      <c r="C101" s="3349" t="s">
        <v>3148</v>
      </c>
      <c r="D101" s="590"/>
      <c r="E101" s="590"/>
      <c r="F101" s="590"/>
      <c r="G101" s="590"/>
      <c r="H101" s="590"/>
      <c r="I101" s="590"/>
      <c r="J101" s="590"/>
      <c r="K101" s="656"/>
      <c r="L101" s="657"/>
      <c r="M101" s="658"/>
      <c r="N101" s="2043"/>
      <c r="O101" s="2043"/>
      <c r="P101" s="2092"/>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2">C102-$K33</f>
        <v>100</v>
      </c>
      <c r="E102" s="669">
        <f t="shared" si="22"/>
        <v>100</v>
      </c>
      <c r="F102" s="669">
        <f t="shared" si="22"/>
        <v>100</v>
      </c>
      <c r="G102" s="669">
        <f t="shared" si="22"/>
        <v>100</v>
      </c>
      <c r="H102" s="669">
        <f t="shared" si="22"/>
        <v>100</v>
      </c>
      <c r="I102" s="669">
        <f t="shared" si="22"/>
        <v>100</v>
      </c>
      <c r="J102" s="669">
        <f t="shared" si="22"/>
        <v>100</v>
      </c>
      <c r="K102" s="669">
        <f t="shared" si="22"/>
        <v>100</v>
      </c>
      <c r="L102" s="669">
        <f t="shared" si="22"/>
        <v>100</v>
      </c>
      <c r="M102" s="670">
        <f t="shared" si="22"/>
        <v>100</v>
      </c>
      <c r="N102" s="2045"/>
      <c r="O102" s="2045"/>
      <c r="P102" s="2092"/>
      <c r="Q102" s="2037"/>
      <c r="R102" s="2025"/>
      <c r="S102" s="2025"/>
      <c r="T102" s="2025"/>
      <c r="U102" s="2025"/>
      <c r="V102" s="2025"/>
      <c r="W102" s="2025"/>
      <c r="X102" s="2025"/>
      <c r="Y102" s="2025"/>
      <c r="Z102" s="2025"/>
      <c r="AA102" s="2025"/>
      <c r="AB102" s="2025"/>
      <c r="AC102" s="2025"/>
    </row>
    <row r="103" spans="1:29" ht="29.25" thickTop="1">
      <c r="A103" s="659"/>
      <c r="B103" s="663" t="s">
        <v>740</v>
      </c>
      <c r="C103" s="698" t="str">
        <f>C104&amp;"(含)"&amp;"-"&amp;D104</f>
        <v>0(含)-50000</v>
      </c>
      <c r="D103" s="698" t="str">
        <f t="shared" ref="D103:L103" si="23">D104&amp;"(含)"&amp;"-"&amp;E104</f>
        <v>50000(含)-100000</v>
      </c>
      <c r="E103" s="698" t="str">
        <f t="shared" si="23"/>
        <v>100000(含)-200000</v>
      </c>
      <c r="F103" s="698" t="str">
        <f t="shared" si="23"/>
        <v>200000(含)-400000</v>
      </c>
      <c r="G103" s="698" t="str">
        <f t="shared" si="23"/>
        <v>400000(含)-</v>
      </c>
      <c r="H103" s="698" t="str">
        <f t="shared" si="23"/>
        <v>(含)-</v>
      </c>
      <c r="I103" s="698" t="str">
        <f t="shared" si="23"/>
        <v>(含)-</v>
      </c>
      <c r="J103" s="698" t="str">
        <f t="shared" si="23"/>
        <v>(含)-</v>
      </c>
      <c r="K103" s="698" t="str">
        <f t="shared" si="23"/>
        <v>(含)-</v>
      </c>
      <c r="L103" s="698" t="str">
        <f t="shared" si="23"/>
        <v>(含)-</v>
      </c>
      <c r="M103" s="701"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8"/>
      <c r="B104" s="719"/>
      <c r="C104" s="720">
        <v>0</v>
      </c>
      <c r="D104" s="720">
        <v>50000</v>
      </c>
      <c r="E104" s="720">
        <v>100000</v>
      </c>
      <c r="F104" s="720">
        <v>200000</v>
      </c>
      <c r="G104" s="720">
        <v>400000</v>
      </c>
      <c r="H104" s="720"/>
      <c r="I104" s="720"/>
      <c r="J104" s="721"/>
      <c r="K104" s="721"/>
      <c r="L104" s="722"/>
      <c r="M104" s="723"/>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7"/>
      <c r="B105" s="668"/>
      <c r="C105" s="682">
        <v>100</v>
      </c>
      <c r="D105" s="661">
        <v>98</v>
      </c>
      <c r="E105" s="661">
        <v>96</v>
      </c>
      <c r="F105" s="661">
        <v>94</v>
      </c>
      <c r="G105" s="661">
        <v>92</v>
      </c>
      <c r="H105" s="661">
        <v>90</v>
      </c>
      <c r="I105" s="661">
        <v>88</v>
      </c>
      <c r="J105" s="661"/>
      <c r="K105" s="661"/>
      <c r="L105" s="661"/>
      <c r="M105" s="662"/>
      <c r="N105" s="2045"/>
      <c r="O105" s="2045"/>
      <c r="P105" s="2093"/>
      <c r="Q105" s="2048"/>
      <c r="R105" s="2049"/>
      <c r="S105" s="2049"/>
      <c r="T105" s="2049"/>
      <c r="U105" s="2049"/>
      <c r="V105" s="2049"/>
      <c r="W105" s="2049"/>
      <c r="X105" s="2049"/>
      <c r="Y105" s="2049"/>
      <c r="Z105" s="2049"/>
      <c r="AA105" s="2049"/>
      <c r="AB105" s="2049"/>
      <c r="AC105" s="2049"/>
    </row>
    <row r="106" spans="1:29" ht="15" thickTop="1">
      <c r="A106" s="725"/>
      <c r="B106" s="663" t="s">
        <v>741</v>
      </c>
      <c r="C106" s="3344" t="s">
        <v>3138</v>
      </c>
      <c r="D106" s="678"/>
      <c r="E106" s="708"/>
      <c r="F106" s="708"/>
      <c r="G106" s="708"/>
      <c r="H106" s="708"/>
      <c r="I106" s="708"/>
      <c r="J106" s="708"/>
      <c r="K106" s="709"/>
      <c r="L106" s="710"/>
      <c r="M106" s="711"/>
      <c r="N106" s="2043"/>
      <c r="O106" s="2043"/>
      <c r="P106" s="2092"/>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5"/>
      <c r="B108" s="663" t="s">
        <v>743</v>
      </c>
      <c r="C108" s="3344" t="s">
        <v>3116</v>
      </c>
      <c r="D108" s="3344" t="s">
        <v>3118</v>
      </c>
      <c r="E108" s="3344" t="s">
        <v>3119</v>
      </c>
      <c r="F108" s="3350" t="s">
        <v>3121</v>
      </c>
      <c r="G108" s="708"/>
      <c r="H108" s="708"/>
      <c r="I108" s="708"/>
      <c r="J108" s="708"/>
      <c r="K108" s="709"/>
      <c r="L108" s="710"/>
      <c r="M108" s="711"/>
      <c r="N108" s="2043"/>
      <c r="O108" s="2043"/>
      <c r="P108" s="2092"/>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3"/>
      <c r="O110" s="2043"/>
      <c r="P110" s="2092"/>
      <c r="Q110" s="2037"/>
      <c r="R110" s="2025"/>
      <c r="S110" s="2025"/>
      <c r="T110" s="2025"/>
      <c r="U110" s="2025"/>
      <c r="V110" s="2025"/>
      <c r="W110" s="2025"/>
      <c r="X110" s="2025"/>
      <c r="Y110" s="2025"/>
      <c r="Z110" s="2025"/>
      <c r="AA110" s="2025"/>
      <c r="AB110" s="2025"/>
      <c r="AC110" s="2025"/>
    </row>
    <row r="111" spans="1:29">
      <c r="A111" s="725"/>
      <c r="B111" s="671"/>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59"/>
      <c r="B112" s="668"/>
      <c r="C112" s="702">
        <v>100</v>
      </c>
      <c r="D112" s="669">
        <f>C112+$K37</f>
        <v>102</v>
      </c>
      <c r="E112" s="669">
        <f t="shared" ref="E112:M112" si="26">D112+$K37</f>
        <v>104</v>
      </c>
      <c r="F112" s="669">
        <f t="shared" si="26"/>
        <v>106</v>
      </c>
      <c r="G112" s="669">
        <f t="shared" si="26"/>
        <v>108</v>
      </c>
      <c r="H112" s="669">
        <f t="shared" si="26"/>
        <v>110</v>
      </c>
      <c r="I112" s="669">
        <f t="shared" si="26"/>
        <v>112</v>
      </c>
      <c r="J112" s="669">
        <f t="shared" si="26"/>
        <v>114</v>
      </c>
      <c r="K112" s="669">
        <f t="shared" si="26"/>
        <v>116</v>
      </c>
      <c r="L112" s="669">
        <f t="shared" si="26"/>
        <v>118</v>
      </c>
      <c r="M112" s="669">
        <f t="shared" si="26"/>
        <v>120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8"/>
      <c r="B113" s="663" t="s">
        <v>778</v>
      </c>
      <c r="C113" s="678"/>
      <c r="D113" s="678"/>
      <c r="E113" s="678"/>
      <c r="F113" s="678"/>
      <c r="G113" s="678"/>
      <c r="H113" s="708"/>
      <c r="I113" s="708"/>
      <c r="J113" s="708"/>
      <c r="K113" s="709"/>
      <c r="L113" s="710"/>
      <c r="M113" s="711"/>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5"/>
      <c r="B115" s="663" t="s">
        <v>745</v>
      </c>
      <c r="C115" s="3344" t="s">
        <v>3151</v>
      </c>
      <c r="D115" s="678"/>
      <c r="E115" s="708"/>
      <c r="F115" s="708"/>
      <c r="G115" s="708"/>
      <c r="H115" s="708"/>
      <c r="I115" s="708"/>
      <c r="J115" s="708"/>
      <c r="K115" s="709"/>
      <c r="L115" s="710"/>
      <c r="M115" s="711"/>
      <c r="N115" s="2043"/>
      <c r="O115" s="2043"/>
      <c r="P115" s="2092"/>
      <c r="Q115" s="2037"/>
      <c r="R115" s="2025"/>
      <c r="S115" s="2025"/>
      <c r="T115" s="2025"/>
      <c r="U115" s="2025"/>
      <c r="V115" s="2025"/>
      <c r="W115" s="2025"/>
      <c r="X115" s="2025"/>
      <c r="Y115" s="2025"/>
      <c r="Z115" s="2025"/>
      <c r="AA115" s="2025"/>
      <c r="AB115" s="2025"/>
      <c r="AC115" s="2025"/>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5"/>
      <c r="B117" s="1808" t="s">
        <v>2535</v>
      </c>
      <c r="C117" s="3344" t="s">
        <v>3142</v>
      </c>
      <c r="D117" s="3344" t="s">
        <v>3143</v>
      </c>
      <c r="E117" s="3344" t="s">
        <v>3144</v>
      </c>
      <c r="F117" s="3344" t="s">
        <v>3145</v>
      </c>
      <c r="G117" s="3344" t="s">
        <v>3146</v>
      </c>
      <c r="H117" s="708"/>
      <c r="I117" s="708"/>
      <c r="J117" s="708"/>
      <c r="K117" s="709"/>
      <c r="L117" s="710"/>
      <c r="M117" s="711"/>
      <c r="N117" s="2043"/>
      <c r="O117" s="2043"/>
      <c r="P117" s="2092"/>
      <c r="Q117" s="2037"/>
      <c r="R117" s="2025"/>
      <c r="S117" s="2025"/>
      <c r="T117" s="2025"/>
      <c r="U117" s="2025"/>
      <c r="V117" s="2025"/>
      <c r="W117" s="2025"/>
      <c r="X117" s="2025"/>
      <c r="Y117" s="2025"/>
      <c r="Z117" s="2025"/>
      <c r="AA117" s="2025"/>
      <c r="AB117" s="2025"/>
      <c r="AC117" s="20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5"/>
      <c r="O118" s="2045"/>
      <c r="P118" s="2092"/>
      <c r="Q118" s="2037"/>
      <c r="R118" s="2025"/>
      <c r="S118" s="2025"/>
      <c r="T118" s="2025"/>
      <c r="U118" s="2025"/>
      <c r="V118" s="2025"/>
      <c r="W118" s="2025"/>
      <c r="X118" s="2025"/>
      <c r="Y118" s="2025"/>
      <c r="Z118" s="2025"/>
      <c r="AA118" s="2025"/>
      <c r="AB118" s="2025"/>
      <c r="AC118" s="2025"/>
    </row>
    <row r="119" spans="1:29" ht="15" thickTop="1">
      <c r="A119" s="725"/>
      <c r="B119" s="904" t="s">
        <v>779</v>
      </c>
      <c r="C119" s="3350" t="s">
        <v>3141</v>
      </c>
      <c r="D119" s="708"/>
      <c r="E119" s="708"/>
      <c r="F119" s="708"/>
      <c r="G119" s="708"/>
      <c r="H119" s="708"/>
      <c r="I119" s="708"/>
      <c r="J119" s="708"/>
      <c r="K119" s="708"/>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8"/>
      <c r="B121" s="663" t="s">
        <v>767</v>
      </c>
      <c r="C121" s="678"/>
      <c r="D121" s="678"/>
      <c r="E121" s="678"/>
      <c r="F121" s="708"/>
      <c r="G121" s="679"/>
      <c r="H121" s="679"/>
      <c r="I121" s="679"/>
      <c r="J121" s="679"/>
      <c r="K121" s="679"/>
      <c r="L121" s="680"/>
      <c r="M121" s="681"/>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7"/>
      <c r="B122" s="660"/>
      <c r="C122" s="682"/>
      <c r="D122" s="682"/>
      <c r="E122" s="682"/>
      <c r="F122" s="682"/>
      <c r="G122" s="682"/>
      <c r="H122" s="682"/>
      <c r="I122" s="682"/>
      <c r="J122" s="682"/>
      <c r="K122" s="682"/>
      <c r="L122" s="682"/>
      <c r="M122" s="682"/>
      <c r="N122" s="2046"/>
      <c r="O122" s="2046"/>
      <c r="P122" s="2093"/>
      <c r="Q122" s="2048"/>
      <c r="R122" s="2049"/>
      <c r="S122" s="2049"/>
      <c r="T122" s="2049"/>
      <c r="U122" s="2049"/>
      <c r="V122" s="2049"/>
      <c r="W122" s="2049"/>
      <c r="X122" s="2049"/>
      <c r="Y122" s="2049"/>
      <c r="Z122" s="2049"/>
      <c r="AA122" s="2049"/>
      <c r="AB122" s="2049"/>
      <c r="AC122" s="2049"/>
    </row>
    <row r="123" spans="1:29" ht="15" thickTop="1">
      <c r="A123" s="725"/>
      <c r="B123" s="663" t="s">
        <v>747</v>
      </c>
      <c r="C123" s="3344" t="s">
        <v>3116</v>
      </c>
      <c r="D123" s="3344" t="s">
        <v>3118</v>
      </c>
      <c r="E123" s="3344" t="s">
        <v>3119</v>
      </c>
      <c r="F123" s="3350" t="s">
        <v>3121</v>
      </c>
      <c r="G123" s="708"/>
      <c r="H123" s="708"/>
      <c r="I123" s="708"/>
      <c r="J123" s="708"/>
      <c r="K123" s="709"/>
      <c r="L123" s="710"/>
      <c r="M123" s="711"/>
      <c r="N123" s="2043"/>
      <c r="O123" s="2043"/>
      <c r="P123" s="2092"/>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C124-$K43</f>
        <v>98</v>
      </c>
      <c r="E124" s="669">
        <f t="shared" si="30"/>
        <v>96</v>
      </c>
      <c r="F124" s="669">
        <f t="shared" si="30"/>
        <v>94</v>
      </c>
      <c r="G124" s="669">
        <f t="shared" si="30"/>
        <v>92</v>
      </c>
      <c r="H124" s="669">
        <f t="shared" si="30"/>
        <v>90</v>
      </c>
      <c r="I124" s="669">
        <f t="shared" si="30"/>
        <v>88</v>
      </c>
      <c r="J124" s="669">
        <f t="shared" si="30"/>
        <v>86</v>
      </c>
      <c r="K124" s="669">
        <f t="shared" si="30"/>
        <v>84</v>
      </c>
      <c r="L124" s="669">
        <f t="shared" si="30"/>
        <v>82</v>
      </c>
      <c r="M124" s="670">
        <f t="shared" si="30"/>
        <v>80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5"/>
      <c r="B125" s="663" t="s">
        <v>748</v>
      </c>
      <c r="C125" s="698" t="s">
        <v>571</v>
      </c>
      <c r="D125" s="698" t="s">
        <v>572</v>
      </c>
      <c r="E125" s="698" t="s">
        <v>573</v>
      </c>
      <c r="F125" s="698" t="s">
        <v>574</v>
      </c>
      <c r="G125" s="698" t="s">
        <v>575</v>
      </c>
      <c r="H125" s="664"/>
      <c r="I125" s="664"/>
      <c r="J125" s="664"/>
      <c r="K125" s="665"/>
      <c r="L125" s="666"/>
      <c r="M125" s="667"/>
      <c r="N125" s="2043"/>
      <c r="O125" s="2043"/>
      <c r="P125" s="2093"/>
      <c r="Q125" s="2037"/>
      <c r="R125" s="2025"/>
      <c r="S125" s="2025"/>
      <c r="T125" s="2025"/>
      <c r="U125" s="2025"/>
      <c r="V125" s="2025"/>
      <c r="W125" s="2025"/>
      <c r="X125" s="2025"/>
      <c r="Y125" s="2025"/>
      <c r="Z125" s="2025"/>
      <c r="AA125" s="2025"/>
      <c r="AB125" s="2025"/>
      <c r="AC125" s="20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8"/>
      <c r="B127" s="663">
        <f>B45</f>
        <v>111</v>
      </c>
      <c r="C127" s="678"/>
      <c r="D127" s="678"/>
      <c r="E127" s="678"/>
      <c r="F127" s="678"/>
      <c r="G127" s="678"/>
      <c r="H127" s="679"/>
      <c r="I127" s="679"/>
      <c r="J127" s="679"/>
      <c r="K127" s="679"/>
      <c r="L127" s="680"/>
      <c r="M127" s="681"/>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7"/>
      <c r="B128" s="668"/>
      <c r="C128" s="682"/>
      <c r="D128" s="661"/>
      <c r="E128" s="661"/>
      <c r="F128" s="661"/>
      <c r="G128" s="682"/>
      <c r="H128" s="683"/>
      <c r="I128" s="683"/>
      <c r="J128" s="683"/>
      <c r="K128" s="683"/>
      <c r="L128" s="683"/>
      <c r="M128" s="684"/>
      <c r="N128" s="2046"/>
      <c r="O128" s="2046"/>
      <c r="P128" s="2093"/>
      <c r="Q128" s="2048"/>
      <c r="R128" s="2049"/>
      <c r="S128" s="2049"/>
      <c r="T128" s="2049"/>
      <c r="U128" s="2049"/>
      <c r="V128" s="2049"/>
      <c r="W128" s="2049"/>
      <c r="X128" s="2049"/>
      <c r="Y128" s="2049"/>
      <c r="Z128" s="2049"/>
      <c r="AA128" s="2049"/>
      <c r="AB128" s="2049"/>
      <c r="AC128" s="2049"/>
    </row>
    <row r="129" spans="1:29" ht="15" thickTop="1">
      <c r="A129" s="725"/>
      <c r="B129" s="663">
        <f>B46</f>
        <v>111</v>
      </c>
      <c r="C129" s="678"/>
      <c r="D129" s="678"/>
      <c r="E129" s="678"/>
      <c r="F129" s="678"/>
      <c r="G129" s="708"/>
      <c r="H129" s="708"/>
      <c r="I129" s="708"/>
      <c r="J129" s="708"/>
      <c r="K129" s="709"/>
      <c r="L129" s="710"/>
      <c r="M129" s="711"/>
      <c r="N129" s="2043"/>
      <c r="O129" s="2043"/>
      <c r="P129" s="2092"/>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92"/>
      <c r="Q130" s="2037"/>
      <c r="R130" s="2025"/>
      <c r="S130" s="2025"/>
      <c r="T130" s="2025"/>
      <c r="U130" s="2025"/>
      <c r="V130" s="2025"/>
      <c r="W130" s="2025"/>
      <c r="X130" s="2025"/>
      <c r="Y130" s="2025"/>
      <c r="Z130" s="2025"/>
      <c r="AA130" s="2025"/>
      <c r="AB130" s="2025"/>
      <c r="AC130" s="2025"/>
    </row>
    <row r="131" spans="1:29" ht="15" thickTop="1">
      <c r="A131" s="725"/>
      <c r="B131" s="671">
        <f>B47</f>
        <v>111</v>
      </c>
      <c r="C131" s="651"/>
      <c r="D131" s="651"/>
      <c r="E131" s="651"/>
      <c r="F131" s="651"/>
      <c r="G131" s="712"/>
      <c r="H131" s="712"/>
      <c r="I131" s="712"/>
      <c r="J131" s="712"/>
      <c r="K131" s="651"/>
      <c r="L131" s="652"/>
      <c r="M131" s="715"/>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89"/>
      <c r="C132" s="690"/>
      <c r="D132" s="690"/>
      <c r="E132" s="690"/>
      <c r="F132" s="690"/>
      <c r="G132" s="716"/>
      <c r="H132" s="716"/>
      <c r="I132" s="716"/>
      <c r="J132" s="716"/>
      <c r="K132" s="716"/>
      <c r="L132" s="716"/>
      <c r="M132" s="717"/>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9" priority="20" stopIfTrue="1" operator="containsText" text="超过">
      <formula>NOT(ISERROR(SEARCH("超过",F53)))</formula>
    </cfRule>
  </conditionalFormatting>
  <conditionalFormatting sqref="H55">
    <cfRule type="containsText" dxfId="88" priority="19" stopIfTrue="1" operator="containsText" text="超过">
      <formula>NOT(ISERROR(SEARCH("超过",H55)))</formula>
    </cfRule>
  </conditionalFormatting>
  <conditionalFormatting sqref="F55">
    <cfRule type="containsText" dxfId="87" priority="18" stopIfTrue="1" operator="containsText" text="超过">
      <formula>NOT(ISERROR(SEARCH("超过",F55)))</formula>
    </cfRule>
  </conditionalFormatting>
  <conditionalFormatting sqref="F54 H54">
    <cfRule type="containsText" dxfId="86" priority="17" stopIfTrue="1" operator="containsText" text="超过">
      <formula>NOT(ISERROR(SEARCH("超过",F54)))</formula>
    </cfRule>
  </conditionalFormatting>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G55">
    <cfRule type="expression" dxfId="82" priority="13" stopIfTrue="1">
      <formula>$H$55="超过30%"</formula>
    </cfRule>
  </conditionalFormatting>
  <conditionalFormatting sqref="G53">
    <cfRule type="expression" dxfId="81" priority="12" stopIfTrue="1">
      <formula>$H$53="超过30%"</formula>
    </cfRule>
  </conditionalFormatting>
  <conditionalFormatting sqref="G54">
    <cfRule type="expression" dxfId="80" priority="11" stopIfTrue="1">
      <formula>$H$54="超过20%"</formula>
    </cfRule>
  </conditionalFormatting>
  <conditionalFormatting sqref="J53">
    <cfRule type="containsText" dxfId="79" priority="10" stopIfTrue="1" operator="containsText" text="超过">
      <formula>NOT(ISERROR(SEARCH("超过",J53)))</formula>
    </cfRule>
  </conditionalFormatting>
  <conditionalFormatting sqref="J55">
    <cfRule type="containsText" dxfId="78" priority="9" stopIfTrue="1" operator="containsText" text="超过">
      <formula>NOT(ISERROR(SEARCH("超过",J55)))</formula>
    </cfRule>
  </conditionalFormatting>
  <conditionalFormatting sqref="J54">
    <cfRule type="containsText" dxfId="77" priority="8" stopIfTrue="1" operator="containsText" text="超过">
      <formula>NOT(ISERROR(SEARCH("超过",J54)))</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F49">
    <cfRule type="expression" dxfId="73" priority="4">
      <formula>$D$49="简单平均"</formula>
    </cfRule>
  </conditionalFormatting>
  <conditionalFormatting sqref="H49">
    <cfRule type="expression" dxfId="72" priority="3">
      <formula>$D$49="简单平均"</formula>
    </cfRule>
  </conditionalFormatting>
  <conditionalFormatting sqref="J49">
    <cfRule type="expression" dxfId="71" priority="2">
      <formula>$D$49="简单平均"</formula>
    </cfRule>
  </conditionalFormatting>
  <conditionalFormatting sqref="F7:F47 H7:H47 J7:J47">
    <cfRule type="cellIs" dxfId="70"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sheetPr>
    <tabColor rgb="FF92D050"/>
  </sheetPr>
  <dimension ref="A1:B38"/>
  <sheetViews>
    <sheetView workbookViewId="0">
      <selection activeCell="L93" sqref="L93"/>
    </sheetView>
  </sheetViews>
  <sheetFormatPr defaultRowHeight="13.5"/>
  <sheetData>
    <row r="1" spans="1:1">
      <c r="A1" s="3244" t="s">
        <v>3149</v>
      </c>
    </row>
    <row r="38" spans="2:2">
      <c r="B38" s="3244" t="s">
        <v>3152</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sheetPr codeName="Sheet7">
    <tabColor rgb="FF92D050"/>
    <pageSetUpPr fitToPage="1"/>
  </sheetPr>
  <dimension ref="A1:AG76"/>
  <sheetViews>
    <sheetView view="pageBreakPreview" topLeftCell="A21" zoomScale="80" zoomScaleNormal="60" zoomScaleSheetLayoutView="80" workbookViewId="0">
      <selection activeCell="C30" sqref="C30:C38"/>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3028</v>
      </c>
      <c r="D1" s="2796" t="s">
        <v>941</v>
      </c>
      <c r="E1" s="2240" t="s">
        <v>2356</v>
      </c>
      <c r="F1" s="2241">
        <f ca="1">J53</f>
        <v>40</v>
      </c>
      <c r="G1" s="3255">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1714</v>
      </c>
      <c r="B2" s="763">
        <f ca="1">C40+J29+L46</f>
        <v>45372</v>
      </c>
      <c r="C2" s="3260"/>
      <c r="D2" s="3261"/>
      <c r="E2" s="3262"/>
      <c r="F2" s="3262"/>
      <c r="G2" s="3256"/>
      <c r="H2" s="1938"/>
      <c r="I2" s="1938"/>
      <c r="J2" s="1938"/>
      <c r="K2" s="1939"/>
      <c r="L2" s="1938"/>
      <c r="M2" s="1938"/>
    </row>
    <row r="3" spans="1:33" ht="18" customHeight="1" thickBot="1">
      <c r="A3" s="820" t="s">
        <v>1715</v>
      </c>
      <c r="B3" s="821">
        <f ca="1">IF(ISERROR(B2*10000/F43),0,ROUND(B2*10000/F43,0))</f>
        <v>29459</v>
      </c>
      <c r="C3" s="3260"/>
      <c r="D3" s="3261"/>
      <c r="E3" s="3262"/>
      <c r="F3" s="3262"/>
      <c r="G3" s="3256"/>
      <c r="H3" s="764" t="s">
        <v>687</v>
      </c>
      <c r="I3" s="1314"/>
      <c r="J3" s="1314"/>
      <c r="K3" s="1524"/>
      <c r="L3" s="1314"/>
      <c r="M3" s="1314"/>
    </row>
    <row r="4" spans="1:33" ht="18" customHeight="1">
      <c r="A4" s="765" t="s">
        <v>1716</v>
      </c>
      <c r="B4" s="766" t="s">
        <v>1717</v>
      </c>
      <c r="C4" s="766" t="s">
        <v>1718</v>
      </c>
      <c r="D4" s="766" t="s">
        <v>625</v>
      </c>
      <c r="E4" s="767" t="s">
        <v>1719</v>
      </c>
      <c r="F4" s="768"/>
      <c r="G4" s="1943"/>
      <c r="H4" s="765" t="s">
        <v>1720</v>
      </c>
      <c r="I4" s="766" t="s">
        <v>1721</v>
      </c>
      <c r="J4" s="766" t="s">
        <v>1722</v>
      </c>
      <c r="K4" s="766" t="s">
        <v>1723</v>
      </c>
      <c r="L4" s="767" t="s">
        <v>1724</v>
      </c>
      <c r="M4" s="768"/>
    </row>
    <row r="5" spans="1:33" ht="18" customHeight="1">
      <c r="A5" s="769">
        <v>1</v>
      </c>
      <c r="B5" s="770" t="s">
        <v>2437</v>
      </c>
      <c r="C5" s="54">
        <f ca="1">C6+C10+C12</f>
        <v>2744</v>
      </c>
      <c r="D5" s="2347" t="s">
        <v>2440</v>
      </c>
      <c r="E5" s="2341"/>
      <c r="F5" s="2342"/>
      <c r="G5" s="1943"/>
      <c r="H5" s="769">
        <v>1</v>
      </c>
      <c r="I5" s="770" t="s">
        <v>2437</v>
      </c>
      <c r="J5" s="54">
        <f ca="1">J6+J10+J12</f>
        <v>0</v>
      </c>
      <c r="K5" s="2347" t="s">
        <v>2440</v>
      </c>
      <c r="L5" s="2341"/>
      <c r="M5" s="2342"/>
    </row>
    <row r="6" spans="1:33" ht="18" customHeight="1">
      <c r="A6" s="1743" t="s">
        <v>1812</v>
      </c>
      <c r="B6" s="3666" t="s">
        <v>2442</v>
      </c>
      <c r="C6" s="771">
        <f ca="1">ROUND(F6*F8*F7*(1-F9)/10000,0)</f>
        <v>2741</v>
      </c>
      <c r="D6" s="2348" t="s">
        <v>2441</v>
      </c>
      <c r="E6" s="772" t="s">
        <v>1726</v>
      </c>
      <c r="F6" s="773">
        <f ca="1">INDIRECT("'数据-取费表'!u"&amp;$G$1)</f>
        <v>5.3</v>
      </c>
      <c r="G6" s="1943"/>
      <c r="H6" s="2355" t="s">
        <v>2447</v>
      </c>
      <c r="I6" s="3666" t="s">
        <v>2442</v>
      </c>
      <c r="J6" s="771">
        <f ca="1">ROUND(M6*M8*M7*(1-M9)/10000,0)</f>
        <v>0</v>
      </c>
      <c r="K6" s="337" t="s">
        <v>1725</v>
      </c>
      <c r="L6" s="772" t="s">
        <v>1726</v>
      </c>
      <c r="M6" s="773">
        <f ca="1">INDIRECT("'数据-取费表'!z"&amp;$G$1)</f>
        <v>0</v>
      </c>
    </row>
    <row r="7" spans="1:33" ht="18" customHeight="1">
      <c r="A7" s="2351"/>
      <c r="B7" s="3667"/>
      <c r="C7" s="776"/>
      <c r="D7" s="777"/>
      <c r="E7" s="772" t="s">
        <v>1727</v>
      </c>
      <c r="F7" s="3369">
        <f ca="1">IF(INDIRECT("'数据-取费表'!ah"&amp;$G$1)="",INDIRECT("'数据-取费表'!k"&amp;$G$1),INDIRECT("'数据-取费表'!ah"&amp;$G$1))</f>
        <v>15401.814</v>
      </c>
      <c r="G7" s="1943"/>
      <c r="H7" s="2340"/>
      <c r="I7" s="3667"/>
      <c r="J7" s="776"/>
      <c r="K7" s="777"/>
      <c r="L7" s="772" t="s">
        <v>1727</v>
      </c>
      <c r="M7" s="773">
        <f ca="1">F7</f>
        <v>15401.814</v>
      </c>
    </row>
    <row r="8" spans="1:33" ht="18" customHeight="1">
      <c r="A8" s="2344"/>
      <c r="B8" s="3668"/>
      <c r="C8" s="776"/>
      <c r="D8" s="777"/>
      <c r="E8" s="772" t="s">
        <v>1728</v>
      </c>
      <c r="F8" s="773">
        <f ca="1">INDIRECT("'数据-取费表'!ai"&amp;$G$1)</f>
        <v>365</v>
      </c>
      <c r="G8" s="1943"/>
      <c r="H8" s="2340"/>
      <c r="I8" s="3668"/>
      <c r="J8" s="776"/>
      <c r="K8" s="777"/>
      <c r="L8" s="772" t="s">
        <v>1728</v>
      </c>
      <c r="M8" s="773">
        <f ca="1">INDIRECT("'数据-取费表'!ai"&amp;$G$1)</f>
        <v>365</v>
      </c>
    </row>
    <row r="9" spans="1:33" ht="18" customHeight="1">
      <c r="A9" s="774"/>
      <c r="B9" s="3669"/>
      <c r="C9" s="776"/>
      <c r="D9" s="777"/>
      <c r="E9" s="772" t="s">
        <v>1729</v>
      </c>
      <c r="F9" s="782">
        <f ca="1">INDIRECT("'数据-取费表'!w"&amp;$G$1)</f>
        <v>0.08</v>
      </c>
      <c r="G9" s="1943"/>
      <c r="H9" s="2356"/>
      <c r="I9" s="3668"/>
      <c r="J9" s="776"/>
      <c r="K9" s="777"/>
      <c r="L9" s="783" t="s">
        <v>1729</v>
      </c>
      <c r="M9" s="784">
        <f ca="1">INDIRECT("'数据-取费表'!ab"&amp;$G$1)</f>
        <v>0</v>
      </c>
    </row>
    <row r="10" spans="1:33" ht="18" customHeight="1">
      <c r="A10" s="1743" t="s">
        <v>2445</v>
      </c>
      <c r="B10" s="2345" t="s">
        <v>2438</v>
      </c>
      <c r="C10" s="787">
        <f ca="1">ROUND(IF(F10="押一",C6/12*F11,IF(F10="押二",C6/12*2*F11,IF(F10="押三",C6/12*3*F11,C11*F11))),0)</f>
        <v>3</v>
      </c>
      <c r="D10" s="2352" t="s">
        <v>2933</v>
      </c>
      <c r="E10" s="2349" t="s">
        <v>2443</v>
      </c>
      <c r="F10" s="2463" t="s">
        <v>3169</v>
      </c>
      <c r="G10" s="1943"/>
      <c r="H10" s="2412" t="s">
        <v>2448</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2444</v>
      </c>
      <c r="F11" s="784">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2">
        <v>2</v>
      </c>
      <c r="B13" s="1740" t="s">
        <v>1730</v>
      </c>
      <c r="C13" s="780">
        <f ca="1">ROUND(C29*F13,0)</f>
        <v>10902</v>
      </c>
      <c r="D13" s="1747" t="s">
        <v>2282</v>
      </c>
      <c r="E13" s="1747" t="s">
        <v>1732</v>
      </c>
      <c r="F13" s="2387">
        <f ca="1">INDIRECT("'数据-取费表'!y"&amp;$G$1)</f>
        <v>1</v>
      </c>
      <c r="G13" s="1943"/>
      <c r="H13" s="1742">
        <v>2</v>
      </c>
      <c r="I13" s="1740" t="s">
        <v>1730</v>
      </c>
      <c r="J13" s="1732">
        <f ca="1">ROUND(J14*J15,0)</f>
        <v>0</v>
      </c>
      <c r="K13" s="1734" t="s">
        <v>1731</v>
      </c>
      <c r="L13" s="2403"/>
      <c r="M13" s="2404"/>
    </row>
    <row r="14" spans="1:33" ht="18" customHeight="1">
      <c r="A14" s="1575" t="s">
        <v>1872</v>
      </c>
      <c r="B14" s="772" t="s">
        <v>637</v>
      </c>
      <c r="C14" s="792">
        <f ca="1">INDIRECT("'数据-取费表'!m"&amp;$G$1)+INDIRECT("'数据-取费表'!t"&amp;$G$1)</f>
        <v>6931</v>
      </c>
      <c r="D14" s="1891" t="s">
        <v>1733</v>
      </c>
      <c r="E14" s="1892"/>
      <c r="F14" s="793"/>
      <c r="G14" s="1943"/>
      <c r="H14" s="1576" t="s">
        <v>1818</v>
      </c>
      <c r="I14" s="2109" t="s">
        <v>2803</v>
      </c>
      <c r="J14" s="52">
        <f ca="1">C29</f>
        <v>10902</v>
      </c>
      <c r="K14" s="25"/>
      <c r="L14" s="789"/>
      <c r="M14" s="790"/>
    </row>
    <row r="15" spans="1:33" s="1945" customFormat="1" ht="18" customHeight="1" thickBot="1">
      <c r="A15" s="1575" t="s">
        <v>1873</v>
      </c>
      <c r="B15" s="772" t="s">
        <v>639</v>
      </c>
      <c r="C15" s="52">
        <f ca="1">ROUND(C14*F15,0)</f>
        <v>208</v>
      </c>
      <c r="D15" s="794" t="s">
        <v>1734</v>
      </c>
      <c r="E15" s="794" t="s">
        <v>1735</v>
      </c>
      <c r="F15" s="795">
        <f>'数据-取费表'!B33</f>
        <v>0.03</v>
      </c>
      <c r="G15" s="3257"/>
      <c r="H15" s="2402" t="s">
        <v>1877</v>
      </c>
      <c r="I15" s="2397" t="s">
        <v>1732</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1874</v>
      </c>
      <c r="B16" s="772" t="s">
        <v>642</v>
      </c>
      <c r="C16" s="52">
        <f ca="1">ROUND(INDIRECT("'数据-取费表'!m"&amp;$G$1)*F16,0)</f>
        <v>0</v>
      </c>
      <c r="D16" s="772" t="s">
        <v>1734</v>
      </c>
      <c r="E16" s="772" t="s">
        <v>1735</v>
      </c>
      <c r="F16" s="797">
        <f ca="1">IF(INDIRECT("'数据-取费表'!c"&amp;$G$1)="住宅",'数据-取费表'!B34,0)</f>
        <v>0</v>
      </c>
      <c r="G16" s="1943"/>
      <c r="H16" s="1742" t="s">
        <v>1736</v>
      </c>
      <c r="I16" s="1740" t="s">
        <v>1737</v>
      </c>
      <c r="J16" s="780">
        <f ca="1">ROUND(J17+J22+J23+J24,0)</f>
        <v>201</v>
      </c>
      <c r="K16" s="1734" t="s">
        <v>1738</v>
      </c>
      <c r="L16" s="2337"/>
      <c r="M16" s="2342"/>
    </row>
    <row r="17" spans="1:33" s="1945" customFormat="1" ht="18" customHeight="1">
      <c r="A17" s="1575" t="s">
        <v>1875</v>
      </c>
      <c r="B17" s="772" t="s">
        <v>645</v>
      </c>
      <c r="C17" s="52">
        <f ca="1">ROUND(F17*(F43+INDIRECT("'数据-取费表'!S"&amp;$G$1))/10000,0)</f>
        <v>308</v>
      </c>
      <c r="D17" s="772" t="s">
        <v>1739</v>
      </c>
      <c r="E17" s="772" t="s">
        <v>1740</v>
      </c>
      <c r="F17" s="55">
        <f>'数据-取费表'!B35</f>
        <v>200</v>
      </c>
      <c r="G17" s="3257"/>
      <c r="H17" s="1576" t="s">
        <v>1818</v>
      </c>
      <c r="I17" s="772" t="s">
        <v>648</v>
      </c>
      <c r="J17" s="3017">
        <f ca="1">ROUND(IF(AND(项目基本情况!B11="自然人",项目基本情况!B10="北京市"),J6*M17/(1+'数据-取费表'!C42),J18+J19+J20),0)</f>
        <v>92</v>
      </c>
      <c r="K17" s="2336" t="s">
        <v>1741</v>
      </c>
      <c r="L17" s="2335" t="s">
        <v>1742</v>
      </c>
      <c r="M17" s="3016">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104</v>
      </c>
      <c r="D18" s="772" t="s">
        <v>1734</v>
      </c>
      <c r="E18" s="772" t="s">
        <v>1735</v>
      </c>
      <c r="F18" s="797">
        <f>'数据-取费表'!B36</f>
        <v>1.4999999999999999E-2</v>
      </c>
      <c r="G18" s="3257"/>
      <c r="H18" s="1575" t="s">
        <v>1872</v>
      </c>
      <c r="I18" s="772" t="s">
        <v>1743</v>
      </c>
      <c r="J18" s="52">
        <f ca="1">ROUND(J6*M18/(1+'数据-取费表'!C42),1)</f>
        <v>0</v>
      </c>
      <c r="K18" s="2335" t="s">
        <v>1744</v>
      </c>
      <c r="L18" s="772" t="s">
        <v>1735</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1818</v>
      </c>
      <c r="B19" s="772" t="s">
        <v>654</v>
      </c>
      <c r="C19" s="52">
        <f ca="1">SUM(C14:C18)</f>
        <v>7551</v>
      </c>
      <c r="D19" s="257" t="s">
        <v>1745</v>
      </c>
      <c r="E19" s="1894"/>
      <c r="F19" s="55"/>
      <c r="G19" s="1943"/>
      <c r="H19" s="1575" t="s">
        <v>1873</v>
      </c>
      <c r="I19" s="772" t="s">
        <v>1746</v>
      </c>
      <c r="J19" s="52">
        <f ca="1">IF(K19="按租金收入计税",ROUND(J6*M19/(1+'数据-取费表'!C42),1),ROUND(C29*F33*0.7,1))</f>
        <v>91.6</v>
      </c>
      <c r="K19" s="798" t="s">
        <v>657</v>
      </c>
      <c r="L19" s="772" t="s">
        <v>1735</v>
      </c>
      <c r="M19" s="797">
        <f>IF(K19="按租金收入计税",'数据-取费表'!B51,'数据-取费表'!B50)</f>
        <v>1.2E-2</v>
      </c>
    </row>
    <row r="20" spans="1:33" s="1945" customFormat="1" ht="18" customHeight="1">
      <c r="A20" s="1576" t="s">
        <v>1877</v>
      </c>
      <c r="B20" s="772" t="s">
        <v>658</v>
      </c>
      <c r="C20" s="52">
        <f ca="1">ROUND(C19*F20,0)</f>
        <v>76</v>
      </c>
      <c r="D20" s="799" t="s">
        <v>1747</v>
      </c>
      <c r="E20" s="772" t="s">
        <v>1735</v>
      </c>
      <c r="F20" s="797">
        <f>'数据-取费表'!B37</f>
        <v>0.01</v>
      </c>
      <c r="G20" s="3257"/>
      <c r="H20" s="1578" t="s">
        <v>1868</v>
      </c>
      <c r="I20" s="337" t="s">
        <v>1748</v>
      </c>
      <c r="J20" s="53">
        <f ca="1">ROUND(M20*M21/10000,0)</f>
        <v>0</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1751</v>
      </c>
      <c r="C21" s="52" t="s">
        <v>1752</v>
      </c>
      <c r="D21" s="799" t="s">
        <v>2283</v>
      </c>
      <c r="E21" s="772" t="s">
        <v>1753</v>
      </c>
      <c r="F21" s="797">
        <f>'数据-取费表'!B38</f>
        <v>0.01</v>
      </c>
      <c r="G21" s="3257"/>
      <c r="H21" s="2357"/>
      <c r="I21" s="781"/>
      <c r="J21" s="68"/>
      <c r="K21" s="803"/>
      <c r="L21" s="772" t="s">
        <v>1754</v>
      </c>
      <c r="M21" s="773">
        <f ca="1">INDIRECT("'数据-取费表'!r"&amp;$G$1)</f>
        <v>2750.33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1755</v>
      </c>
      <c r="C22" s="52"/>
      <c r="D22" s="2422" t="str">
        <f>IF(F23&lt;=1,"单利计息。","复利计息。")&amp;"建造成本、管理费用、销售费用产生的利息。"</f>
        <v>复利计息。建造成本、管理费用、销售费用产生的利息。</v>
      </c>
      <c r="E22" s="1894"/>
      <c r="F22" s="55"/>
      <c r="G22" s="1943"/>
      <c r="H22" s="1576" t="s">
        <v>1877</v>
      </c>
      <c r="I22" s="772" t="s">
        <v>1756</v>
      </c>
      <c r="J22" s="52">
        <f ca="1">ROUND(J14*M22,0)</f>
        <v>109</v>
      </c>
      <c r="K22" s="2335" t="s">
        <v>1757</v>
      </c>
      <c r="L22" s="772" t="s">
        <v>1735</v>
      </c>
      <c r="M22" s="804">
        <f ca="1">INDIRECT("'数据-取费表'!Ak"&amp;$G$1)</f>
        <v>0.01</v>
      </c>
    </row>
    <row r="23" spans="1:33" s="1945" customFormat="1" ht="18" customHeight="1">
      <c r="A23" s="1575" t="s">
        <v>1819</v>
      </c>
      <c r="B23" s="772" t="s">
        <v>2514</v>
      </c>
      <c r="C23" s="52">
        <f ca="1">ROUND(IF('数据-取费表'!B22&lt;=1,(C19+C20)*F24*F23/2,(C19+C20)*(POWER((1+F24),F23/2)-1)),0)</f>
        <v>270</v>
      </c>
      <c r="D23" s="2421" t="str">
        <f>IF(F23&lt;=1,"(建造成本+管理费用)×利率×(建设周期÷2)","(建造成本+管理费用)×((1+利率)^(建设周期÷2)-1)")</f>
        <v>(建造成本+管理费用)×((1+利率)^(建设周期÷2)-1)</v>
      </c>
      <c r="E23" s="772" t="s">
        <v>1758</v>
      </c>
      <c r="F23" s="630">
        <f>'数据-取费表'!B20</f>
        <v>1.5</v>
      </c>
      <c r="G23" s="3257"/>
      <c r="H23" s="1576" t="s">
        <v>1878</v>
      </c>
      <c r="I23" s="772" t="s">
        <v>671</v>
      </c>
      <c r="J23" s="52">
        <f ca="1">ROUND(J13*M23,0)</f>
        <v>0</v>
      </c>
      <c r="K23" s="2335" t="s">
        <v>1759</v>
      </c>
      <c r="L23" s="772" t="s">
        <v>1735</v>
      </c>
      <c r="M23" s="805">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4.0000000000000002E-4</v>
      </c>
      <c r="D24" s="2421" t="str">
        <f>IF(F23&lt;=1,"销售费用×利率×(建设周期÷2)","销售费用×((1+利率)^(建设周期÷2)-1)")</f>
        <v>销售费用×((1+利率)^(建设周期÷2)-1)</v>
      </c>
      <c r="E24" s="772" t="s">
        <v>1761</v>
      </c>
      <c r="F24" s="806">
        <f ca="1">'数据-取费表'!B40</f>
        <v>4.7500000000000001E-2</v>
      </c>
      <c r="G24" s="3257"/>
      <c r="H24" s="2402" t="s">
        <v>1879</v>
      </c>
      <c r="I24" s="2397" t="s">
        <v>658</v>
      </c>
      <c r="J24" s="2395">
        <f ca="1">ROUND(J5*M24,0)</f>
        <v>0</v>
      </c>
      <c r="K24" s="2396" t="s">
        <v>1762</v>
      </c>
      <c r="L24" s="2397" t="s">
        <v>1735</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1894"/>
      <c r="F25" s="55"/>
      <c r="G25" s="1943"/>
      <c r="H25" s="1742" t="s">
        <v>1764</v>
      </c>
      <c r="I25" s="2721" t="s">
        <v>2799</v>
      </c>
      <c r="J25" s="780">
        <f ca="1">J5-J16</f>
        <v>-201</v>
      </c>
      <c r="K25" s="2399" t="s">
        <v>1765</v>
      </c>
      <c r="L25" s="2400"/>
      <c r="M25" s="2401"/>
    </row>
    <row r="26" spans="1:33" ht="18" customHeight="1">
      <c r="A26" s="1575" t="s">
        <v>1819</v>
      </c>
      <c r="B26" s="772" t="s">
        <v>2419</v>
      </c>
      <c r="C26" s="52">
        <f ca="1">ROUND((C19+C20)*F26,0)</f>
        <v>2288</v>
      </c>
      <c r="D26" s="799" t="s">
        <v>1766</v>
      </c>
      <c r="E26" s="783" t="s">
        <v>1767</v>
      </c>
      <c r="F26" s="782">
        <f ca="1">INDIRECT("'数据-取费表'!q"&amp;$G$1)</f>
        <v>0.3</v>
      </c>
      <c r="G26" s="1943"/>
      <c r="H26" s="2353" t="s">
        <v>1768</v>
      </c>
      <c r="I26" s="2110" t="s">
        <v>2804</v>
      </c>
      <c r="J26" s="771">
        <f ca="1">IF(J5&lt;&gt;0,ROUND(J25*(1-((1+M28)/(1+M26))^M27)/(M26-M28),0),0)</f>
        <v>0</v>
      </c>
      <c r="K26" s="801" t="s">
        <v>1769</v>
      </c>
      <c r="L26" s="772" t="s">
        <v>2401</v>
      </c>
      <c r="M26" s="782">
        <f ca="1">INDIRECT("'数据-取费表'!I"&amp;$G$1)</f>
        <v>4.2000000000000003E-2</v>
      </c>
    </row>
    <row r="27" spans="1:33" ht="18" customHeight="1">
      <c r="A27" s="1575" t="s">
        <v>1820</v>
      </c>
      <c r="B27" s="772" t="s">
        <v>678</v>
      </c>
      <c r="C27" s="52">
        <f ca="1">ROUND(F21*F26,4)</f>
        <v>3.0000000000000001E-3</v>
      </c>
      <c r="D27" s="799" t="s">
        <v>1770</v>
      </c>
      <c r="E27" s="794"/>
      <c r="F27" s="795"/>
      <c r="G27" s="1943"/>
      <c r="H27" s="2354"/>
      <c r="I27" s="775"/>
      <c r="J27" s="776"/>
      <c r="K27" s="808" t="s">
        <v>1771</v>
      </c>
      <c r="L27" s="772" t="s">
        <v>1772</v>
      </c>
      <c r="M27" s="809">
        <f ca="1">INDIRECT("'数据-取费表'!ag"&amp;$G$1)</f>
        <v>0</v>
      </c>
    </row>
    <row r="28" spans="1:33" s="1945" customFormat="1" ht="18" customHeight="1">
      <c r="A28" s="1577" t="s">
        <v>1829</v>
      </c>
      <c r="B28" s="772" t="s">
        <v>679</v>
      </c>
      <c r="C28" s="52">
        <f>ROUND(F28/(1+'数据-取费表'!C42),4)</f>
        <v>5.2400000000000002E-2</v>
      </c>
      <c r="D28" s="799" t="s">
        <v>2284</v>
      </c>
      <c r="E28" s="772" t="s">
        <v>1773</v>
      </c>
      <c r="F28" s="797">
        <f>'数据-取费表'!B41</f>
        <v>5.5000000000000007E-2</v>
      </c>
      <c r="G28" s="3257"/>
      <c r="H28" s="1742"/>
      <c r="I28" s="779"/>
      <c r="J28" s="780"/>
      <c r="K28" s="803"/>
      <c r="L28" s="772" t="s">
        <v>1774</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10902</v>
      </c>
      <c r="D29" s="2396"/>
      <c r="E29" s="2397"/>
      <c r="F29" s="2398"/>
      <c r="G29" s="3257"/>
      <c r="H29" s="810" t="s">
        <v>1775</v>
      </c>
      <c r="I29" s="811" t="s">
        <v>1776</v>
      </c>
      <c r="J29" s="812">
        <f ca="1">ROUND(J26/(1+F40)^F41,0)</f>
        <v>0</v>
      </c>
      <c r="K29" s="813" t="s">
        <v>1777</v>
      </c>
      <c r="L29" s="814"/>
      <c r="M29" s="815">
        <f ca="1">INDIRECT("'数据-取费表'!k"&amp;$G$1)</f>
        <v>15401.814</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1881</v>
      </c>
      <c r="B30" s="1740" t="s">
        <v>1778</v>
      </c>
      <c r="C30" s="780">
        <f ca="1">ROUND(C31+C36+C37+C38,0)</f>
        <v>383</v>
      </c>
      <c r="D30" s="1734" t="s">
        <v>1779</v>
      </c>
      <c r="E30" s="2337"/>
      <c r="F30" s="2342"/>
      <c r="G30" s="1943"/>
      <c r="H30" s="1946"/>
      <c r="I30" s="1947"/>
      <c r="J30" s="1948"/>
      <c r="K30" s="1949"/>
      <c r="L30" s="1950"/>
      <c r="M30" s="1951"/>
    </row>
    <row r="31" spans="1:33" ht="18" customHeight="1">
      <c r="A31" s="1576" t="s">
        <v>1818</v>
      </c>
      <c r="B31" s="772" t="s">
        <v>648</v>
      </c>
      <c r="C31" s="3017">
        <f ca="1">ROUND(IF(AND(项目基本情况!B11="自然人",项目基本情况!B10="北京市"),C6*F31/(1+'数据-取费表'!C42),C32+C33+C34),0)</f>
        <v>236</v>
      </c>
      <c r="D31" s="1891" t="s">
        <v>1780</v>
      </c>
      <c r="E31" s="1889" t="s">
        <v>1781</v>
      </c>
      <c r="F31" s="3016">
        <f ca="1">IF(项目基本情况!B11="企业","——",IF('数据-取费表'!B10="住宅",IF(F6*F7*F8/12/(1+'数据-取费表'!F30)&gt;100000,4%,2.5%),IF(F6*F7*F8/12/(1+'数据-取费表'!F30)&gt;100000,12%,7%)))</f>
        <v>0.12</v>
      </c>
      <c r="G31" s="1943"/>
      <c r="H31" s="3254" t="s">
        <v>2988</v>
      </c>
      <c r="I31" s="1947"/>
      <c r="J31" s="1948"/>
      <c r="K31" s="1949"/>
      <c r="L31" s="1950"/>
      <c r="M31" s="1951"/>
    </row>
    <row r="32" spans="1:33" ht="18" customHeight="1">
      <c r="A32" s="1575" t="s">
        <v>1819</v>
      </c>
      <c r="B32" s="772" t="s">
        <v>1782</v>
      </c>
      <c r="C32" s="52">
        <f ca="1">ROUND(C6*F32/(1+'数据-取费表'!C42),1)</f>
        <v>143.6</v>
      </c>
      <c r="D32" s="1889" t="s">
        <v>1783</v>
      </c>
      <c r="E32" s="772" t="s">
        <v>1784</v>
      </c>
      <c r="F32" s="797">
        <f>'数据-取费表'!B41</f>
        <v>5.5000000000000007E-2</v>
      </c>
      <c r="G32" s="1943"/>
      <c r="H32" s="1952"/>
      <c r="I32" s="1953"/>
      <c r="J32" s="1954"/>
      <c r="K32" s="1955"/>
      <c r="L32" s="1956"/>
      <c r="M32" s="1957"/>
    </row>
    <row r="33" spans="1:18" ht="18" customHeight="1">
      <c r="A33" s="1575" t="s">
        <v>1820</v>
      </c>
      <c r="B33" s="772" t="s">
        <v>1785</v>
      </c>
      <c r="C33" s="52">
        <f ca="1">IF(D33="按租金收入计税",ROUND(C6*F33/(1+'数据-取费表'!C42),1),IF(D33="按房产原值计税",ROUND(C29*F33*0.7,1),INDIRECT("'数据-取费表'!Aj"&amp;$G$1)))</f>
        <v>91.6</v>
      </c>
      <c r="D33" s="798" t="s">
        <v>1668</v>
      </c>
      <c r="E33" s="772" t="s">
        <v>1784</v>
      </c>
      <c r="F33" s="797">
        <f>IF(D33="按租金收入计税",'数据-取费表'!B51,'数据-取费表'!B50)</f>
        <v>1.2E-2</v>
      </c>
      <c r="G33" s="1943"/>
      <c r="H33" s="1958"/>
      <c r="I33" s="1958"/>
      <c r="J33" s="1958"/>
      <c r="K33" s="1959"/>
      <c r="L33" s="1958"/>
      <c r="M33" s="1958"/>
    </row>
    <row r="34" spans="1:18" ht="18" customHeight="1">
      <c r="A34" s="1578" t="s">
        <v>1821</v>
      </c>
      <c r="B34" s="337" t="s">
        <v>1786</v>
      </c>
      <c r="C34" s="53">
        <f>ROUND(F34*F35/10000,1)</f>
        <v>0.8</v>
      </c>
      <c r="D34" s="801" t="s">
        <v>1787</v>
      </c>
      <c r="E34" s="772" t="s">
        <v>1788</v>
      </c>
      <c r="F34" s="630">
        <f>'数据-取费表'!B52</f>
        <v>1.5</v>
      </c>
      <c r="G34" s="1943"/>
      <c r="H34" s="1946"/>
      <c r="I34" s="822" t="s">
        <v>1801</v>
      </c>
      <c r="J34" s="823"/>
      <c r="K34" s="1961"/>
      <c r="L34" s="1960"/>
      <c r="M34" s="1960"/>
    </row>
    <row r="35" spans="1:18" ht="18" customHeight="1">
      <c r="A35" s="802"/>
      <c r="B35" s="781"/>
      <c r="C35" s="68"/>
      <c r="D35" s="803"/>
      <c r="E35" s="772" t="s">
        <v>1789</v>
      </c>
      <c r="F35" s="773">
        <f>'数据-基础表'!A3</f>
        <v>5500.6480000000001</v>
      </c>
      <c r="G35" s="1943"/>
      <c r="H35" s="1946"/>
      <c r="I35" s="824" t="s">
        <v>1802</v>
      </c>
      <c r="J35" s="825">
        <f ca="1">ROUND(C13*J36,0)</f>
        <v>0</v>
      </c>
      <c r="K35" s="1959"/>
      <c r="L35" s="1958"/>
      <c r="M35" s="1958"/>
    </row>
    <row r="36" spans="1:18" ht="18" customHeight="1">
      <c r="A36" s="1576" t="s">
        <v>1877</v>
      </c>
      <c r="B36" s="772" t="s">
        <v>1790</v>
      </c>
      <c r="C36" s="52">
        <f ca="1">ROUND(C29*F36,1)</f>
        <v>109</v>
      </c>
      <c r="D36" s="1889" t="s">
        <v>1791</v>
      </c>
      <c r="E36" s="772" t="s">
        <v>1784</v>
      </c>
      <c r="F36" s="804">
        <f ca="1">INDIRECT("'数据-取费表'!Ak"&amp;$G$1)</f>
        <v>0.01</v>
      </c>
      <c r="G36" s="1943"/>
      <c r="H36" s="1958"/>
      <c r="I36" s="826" t="s">
        <v>1803</v>
      </c>
      <c r="J36" s="827">
        <f ca="1">INDIRECT("'数据-取费表'!j"&amp;$G$1)</f>
        <v>0</v>
      </c>
      <c r="K36" s="1962"/>
      <c r="L36" s="1958"/>
      <c r="M36" s="1958"/>
    </row>
    <row r="37" spans="1:18" ht="18" customHeight="1">
      <c r="A37" s="1576" t="s">
        <v>1878</v>
      </c>
      <c r="B37" s="772" t="s">
        <v>671</v>
      </c>
      <c r="C37" s="52">
        <f ca="1">ROUND(C13*F37,1)</f>
        <v>10.9</v>
      </c>
      <c r="D37" s="1889" t="s">
        <v>1792</v>
      </c>
      <c r="E37" s="772" t="s">
        <v>1784</v>
      </c>
      <c r="F37" s="805">
        <f ca="1">INDIRECT("'数据-取费表'!Al"&amp;$G$1)</f>
        <v>1E-3</v>
      </c>
      <c r="G37" s="1943"/>
      <c r="H37" s="1958"/>
      <c r="I37" s="828" t="s">
        <v>1804</v>
      </c>
      <c r="J37" s="829"/>
      <c r="K37" s="1962"/>
      <c r="L37" s="1958"/>
      <c r="M37" s="1958"/>
    </row>
    <row r="38" spans="1:18" ht="18" customHeight="1" thickBot="1">
      <c r="A38" s="2402" t="s">
        <v>1879</v>
      </c>
      <c r="B38" s="2397" t="s">
        <v>658</v>
      </c>
      <c r="C38" s="2395">
        <f ca="1">ROUND(C5*F38,1)</f>
        <v>27.4</v>
      </c>
      <c r="D38" s="2396" t="s">
        <v>1793</v>
      </c>
      <c r="E38" s="2397" t="s">
        <v>1784</v>
      </c>
      <c r="F38" s="2393">
        <f ca="1">INDIRECT("'数据-取费表'!Am"&amp;$G$1)</f>
        <v>0.01</v>
      </c>
      <c r="G38" s="1943"/>
      <c r="H38" s="1958"/>
      <c r="I38" s="830" t="s">
        <v>1805</v>
      </c>
      <c r="J38" s="831"/>
      <c r="K38" s="1963"/>
      <c r="L38" s="1958"/>
      <c r="M38" s="1958"/>
    </row>
    <row r="39" spans="1:18" ht="24.6" customHeight="1" thickTop="1">
      <c r="A39" s="1742" t="s">
        <v>1882</v>
      </c>
      <c r="B39" s="2721" t="s">
        <v>2799</v>
      </c>
      <c r="C39" s="780">
        <f ca="1">C5-C30</f>
        <v>2361</v>
      </c>
      <c r="D39" s="2399" t="s">
        <v>1794</v>
      </c>
      <c r="E39" s="2400"/>
      <c r="F39" s="2401"/>
      <c r="G39" s="1943"/>
      <c r="H39" s="1958"/>
      <c r="I39" s="824" t="s">
        <v>1806</v>
      </c>
      <c r="J39" s="832">
        <f ca="1">ROUND(J35/C39,3)</f>
        <v>0</v>
      </c>
      <c r="K39" s="1963"/>
      <c r="L39" s="1958"/>
      <c r="M39" s="1958"/>
    </row>
    <row r="40" spans="1:18" ht="18" customHeight="1">
      <c r="A40" s="769" t="s">
        <v>1883</v>
      </c>
      <c r="B40" s="2110" t="s">
        <v>2286</v>
      </c>
      <c r="C40" s="771">
        <f ca="1">ROUND(C39*(1-((1+F42)/(1+F40))^F41)/(F40-F42),0)</f>
        <v>45372</v>
      </c>
      <c r="D40" s="801" t="s">
        <v>1795</v>
      </c>
      <c r="E40" s="772" t="s">
        <v>2401</v>
      </c>
      <c r="F40" s="782">
        <f ca="1">INDIRECT("'数据-取费表'!I"&amp;$G$1)</f>
        <v>4.2000000000000003E-2</v>
      </c>
      <c r="G40" s="1943"/>
      <c r="H40" s="1943"/>
      <c r="I40" s="824" t="s">
        <v>1807</v>
      </c>
      <c r="J40" s="832">
        <f ca="1">1-J39</f>
        <v>1</v>
      </c>
      <c r="K40" s="1963"/>
      <c r="L40" s="1943"/>
      <c r="M40" s="1943"/>
    </row>
    <row r="41" spans="1:18" ht="18" customHeight="1">
      <c r="A41" s="774"/>
      <c r="B41" s="775"/>
      <c r="C41" s="776"/>
      <c r="D41" s="808" t="s">
        <v>1796</v>
      </c>
      <c r="E41" s="772" t="s">
        <v>2924</v>
      </c>
      <c r="F41" s="809">
        <f ca="1">IF(INDIRECT("'数据-取费表'!af"&amp;$G$1)=0,INDIRECT("'数据-取费表'!ae"&amp;$G$1),INDIRECT("'数据-取费表'!af"&amp;$G$1))</f>
        <v>40</v>
      </c>
      <c r="G41" s="1943"/>
      <c r="H41" s="1898"/>
      <c r="I41" s="830" t="s">
        <v>1808</v>
      </c>
      <c r="J41" s="833"/>
      <c r="K41" s="1962"/>
      <c r="L41" s="1898"/>
      <c r="M41" s="1898"/>
    </row>
    <row r="42" spans="1:18" ht="18" customHeight="1">
      <c r="A42" s="778"/>
      <c r="B42" s="779"/>
      <c r="C42" s="780"/>
      <c r="D42" s="803"/>
      <c r="E42" s="772" t="s">
        <v>1797</v>
      </c>
      <c r="F42" s="782">
        <f ca="1">INDIRECT("'数据-取费表'!v"&amp;$G$1)</f>
        <v>0</v>
      </c>
      <c r="G42" s="1943"/>
      <c r="H42" s="1898"/>
      <c r="I42" s="834" t="s">
        <v>1809</v>
      </c>
      <c r="J42" s="832">
        <f ca="1">ROUND(C13/C40,3)</f>
        <v>0.24</v>
      </c>
      <c r="K42" s="1962"/>
      <c r="L42" s="1898"/>
      <c r="M42" s="1898"/>
    </row>
    <row r="43" spans="1:18" ht="18" customHeight="1" thickBot="1">
      <c r="A43" s="810" t="s">
        <v>1775</v>
      </c>
      <c r="B43" s="811" t="s">
        <v>1798</v>
      </c>
      <c r="C43" s="812">
        <f ca="1">ROUND(C40*10000/F43,0)</f>
        <v>29459</v>
      </c>
      <c r="D43" s="813" t="s">
        <v>1799</v>
      </c>
      <c r="E43" s="814" t="s">
        <v>1800</v>
      </c>
      <c r="F43" s="815">
        <f ca="1">INDIRECT("'数据-取费表'!k"&amp;$G$1)</f>
        <v>15401.814</v>
      </c>
      <c r="G43" s="1943"/>
      <c r="H43" s="1898"/>
      <c r="I43" s="834" t="s">
        <v>1810</v>
      </c>
      <c r="J43" s="835">
        <f ca="1">1-J42</f>
        <v>0.76</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-49446</v>
      </c>
      <c r="D46" s="3258"/>
      <c r="E46" s="3258"/>
      <c r="F46" s="3258"/>
      <c r="I46" s="2231" t="s">
        <v>2325</v>
      </c>
      <c r="J46" s="2232"/>
      <c r="K46" s="2233"/>
      <c r="L46" s="2809" t="str">
        <f ca="1">IF(OR(M47="住宅",D1="土地（套用方法）"),0,IF(L48&gt;J51,L60,J60))</f>
        <v>0</v>
      </c>
      <c r="M46" s="3259"/>
      <c r="O46" s="2247" t="s">
        <v>2392</v>
      </c>
      <c r="P46" s="1525"/>
      <c r="Q46" s="1533"/>
      <c r="R46" s="1525"/>
    </row>
    <row r="47" spans="1:18" s="1940" customFormat="1" ht="18" customHeight="1" thickBot="1">
      <c r="A47" s="2225">
        <v>1</v>
      </c>
      <c r="B47" s="2226" t="s">
        <v>627</v>
      </c>
      <c r="C47" s="2424">
        <f ca="1">C48+C52+C54</f>
        <v>0</v>
      </c>
      <c r="D47" s="3258"/>
      <c r="E47" s="3258"/>
      <c r="F47" s="3258"/>
      <c r="I47" s="2800" t="s">
        <v>2326</v>
      </c>
      <c r="J47" s="2234" t="s">
        <v>3080</v>
      </c>
      <c r="K47" s="2806" t="s">
        <v>2331</v>
      </c>
      <c r="L47" s="2810">
        <f ca="1">INDIRECT("'数据-取费表'!d"&amp;$G$1)</f>
        <v>40</v>
      </c>
      <c r="M47" s="1533" t="str">
        <f>IF(ISNUMBER(FIND("住宅",C1)),"住宅","非住宅")</f>
        <v>非住宅</v>
      </c>
      <c r="O47" s="2248" t="s">
        <v>2357</v>
      </c>
      <c r="P47" s="2249" t="s">
        <v>2358</v>
      </c>
      <c r="Q47" s="2250" t="s">
        <v>2359</v>
      </c>
      <c r="R47" s="2249" t="s">
        <v>2360</v>
      </c>
    </row>
    <row r="48" spans="1:18" s="1940" customFormat="1" ht="18" customHeight="1" thickBot="1">
      <c r="A48" s="2482" t="s">
        <v>2516</v>
      </c>
      <c r="B48" s="2483" t="s">
        <v>2517</v>
      </c>
      <c r="C48" s="2227">
        <f ca="1">ROUND(F48*F50*F49*(1-F51)/10000,0)</f>
        <v>0</v>
      </c>
      <c r="D48" s="2228" t="s">
        <v>628</v>
      </c>
      <c r="E48" s="2229" t="s">
        <v>2281</v>
      </c>
      <c r="F48" s="2230"/>
      <c r="G48" s="1970"/>
      <c r="I48" s="2797" t="s">
        <v>2327</v>
      </c>
      <c r="J48" s="2235" t="s">
        <v>2332</v>
      </c>
      <c r="K48" s="2807" t="s">
        <v>2333</v>
      </c>
      <c r="L48" s="1820">
        <f ca="1">INDIRECT("'数据-取费表'!f"&amp;$G$1)</f>
        <v>40</v>
      </c>
      <c r="M48" s="3259"/>
      <c r="O48" s="2251" t="s">
        <v>2361</v>
      </c>
      <c r="P48" s="2252" t="s">
        <v>2387</v>
      </c>
      <c r="Q48" s="2253">
        <f ca="1">C40+J29</f>
        <v>45372</v>
      </c>
      <c r="R48" s="2252" t="s">
        <v>2362</v>
      </c>
    </row>
    <row r="49" spans="1:18" s="1940" customFormat="1" ht="18" customHeight="1" thickBot="1">
      <c r="A49" s="774"/>
      <c r="B49" s="775"/>
      <c r="C49" s="776"/>
      <c r="D49" s="777"/>
      <c r="E49" s="772" t="s">
        <v>1727</v>
      </c>
      <c r="F49" s="773">
        <f ca="1">F7</f>
        <v>15401.814</v>
      </c>
      <c r="G49" s="1970"/>
      <c r="H49" s="1973"/>
      <c r="I49" s="2797" t="s">
        <v>2328</v>
      </c>
      <c r="J49" s="2236"/>
      <c r="K49" s="2808" t="s">
        <v>2334</v>
      </c>
      <c r="L49" s="2237"/>
      <c r="M49" s="3259"/>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9"/>
      <c r="O50" s="2254" t="s">
        <v>2365</v>
      </c>
      <c r="P50" s="2252" t="s">
        <v>2389</v>
      </c>
      <c r="Q50" s="2253">
        <f ca="1">C29</f>
        <v>10902</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141660</v>
      </c>
      <c r="M51" s="3259"/>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2934</v>
      </c>
      <c r="E52" s="2349" t="s">
        <v>2443</v>
      </c>
      <c r="F52" s="2463"/>
      <c r="I52" s="2802" t="s">
        <v>2403</v>
      </c>
      <c r="J52" s="2238"/>
      <c r="K52" s="2802" t="s">
        <v>2402</v>
      </c>
      <c r="L52" s="2238"/>
      <c r="M52" s="3259"/>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40</v>
      </c>
      <c r="K53" s="3703" t="s">
        <v>2926</v>
      </c>
      <c r="L53" s="3704"/>
      <c r="M53" s="3259"/>
      <c r="O53" s="2254" t="s">
        <v>2370</v>
      </c>
      <c r="P53" s="2252" t="s">
        <v>2371</v>
      </c>
      <c r="Q53" s="2253">
        <f ca="1">J53</f>
        <v>40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2373</v>
      </c>
      <c r="P54" s="2252" t="s">
        <v>2390</v>
      </c>
      <c r="Q54" s="2253">
        <f ca="1">Q48+Q49</f>
        <v>45372</v>
      </c>
      <c r="R54" s="2256" t="s">
        <v>2374</v>
      </c>
    </row>
    <row r="55" spans="1:18" s="1940" customFormat="1" ht="18" customHeight="1" thickTop="1" thickBot="1">
      <c r="A55" s="785">
        <v>2</v>
      </c>
      <c r="B55" s="786" t="s">
        <v>636</v>
      </c>
      <c r="C55" s="787">
        <f ca="1">C13</f>
        <v>10902</v>
      </c>
      <c r="D55" s="783"/>
      <c r="E55" s="783"/>
      <c r="F55" s="788"/>
      <c r="I55" s="2814" t="s">
        <v>2337</v>
      </c>
      <c r="J55" s="2786" t="e">
        <f ca="1">ROUND(IF(J47="钢混",J57/J50,1-(1-2%)*(J50-J57)/J50),3)</f>
        <v>#VALUE!</v>
      </c>
      <c r="K55" s="2815" t="s">
        <v>2338</v>
      </c>
      <c r="L55" s="2239"/>
      <c r="M55" s="3259"/>
      <c r="O55" s="2257" t="s">
        <v>2393</v>
      </c>
      <c r="P55" s="1525"/>
      <c r="Q55" s="1533"/>
      <c r="R55" s="1525"/>
    </row>
    <row r="56" spans="1:18" s="1940" customFormat="1" ht="42.75" customHeight="1" thickBot="1">
      <c r="A56" s="1577"/>
      <c r="B56" s="2109" t="s">
        <v>2287</v>
      </c>
      <c r="C56" s="52">
        <f ca="1">C29</f>
        <v>10902</v>
      </c>
      <c r="D56" s="2479"/>
      <c r="E56" s="772"/>
      <c r="F56" s="797"/>
      <c r="I56" s="2816" t="s">
        <v>2339</v>
      </c>
      <c r="J56" s="2826" t="s">
        <v>1666</v>
      </c>
      <c r="K56" s="2797" t="s">
        <v>2344</v>
      </c>
      <c r="L56" s="1820" t="str">
        <f ca="1">IF(L48&lt;J51,"——",L48-J51)</f>
        <v>——</v>
      </c>
      <c r="M56" s="3259"/>
      <c r="O56" s="2248" t="s">
        <v>2357</v>
      </c>
      <c r="P56" s="2249" t="s">
        <v>2358</v>
      </c>
      <c r="Q56" s="2250" t="s">
        <v>2359</v>
      </c>
      <c r="R56" s="2249" t="s">
        <v>2360</v>
      </c>
    </row>
    <row r="57" spans="1:18" s="1940" customFormat="1" ht="28.5" customHeight="1" thickBot="1">
      <c r="A57" s="785" t="s">
        <v>1736</v>
      </c>
      <c r="B57" s="786" t="s">
        <v>643</v>
      </c>
      <c r="C57" s="787">
        <f ca="1">ROUND(C58+C63+C64+C65,0)</f>
        <v>212</v>
      </c>
      <c r="D57" s="25" t="s">
        <v>1738</v>
      </c>
      <c r="E57" s="2480"/>
      <c r="F57" s="55"/>
      <c r="I57" s="2817" t="s">
        <v>2340</v>
      </c>
      <c r="J57" s="2818" t="str">
        <f ca="1">IF(OR(M47="住宅",J51&lt;L48,J56="是"),"——",J51-L48)</f>
        <v>——</v>
      </c>
      <c r="K57" s="2797" t="s">
        <v>2345</v>
      </c>
      <c r="L57" s="1820" t="str">
        <f ca="1">IF(L48&lt;J51,"——",IF(L55="比较法",L49,IF(L55="基准地价",L50,L51)))</f>
        <v>——</v>
      </c>
      <c r="M57" s="3259"/>
      <c r="O57" s="2251" t="s">
        <v>2361</v>
      </c>
      <c r="P57" s="2252" t="s">
        <v>2391</v>
      </c>
      <c r="Q57" s="2253">
        <f ca="1">C40+J29</f>
        <v>45372</v>
      </c>
      <c r="R57" s="2252" t="s">
        <v>2362</v>
      </c>
    </row>
    <row r="58" spans="1:18" s="1940" customFormat="1" ht="28.5" customHeight="1" thickBot="1">
      <c r="A58" s="1576" t="s">
        <v>1812</v>
      </c>
      <c r="B58" s="772" t="s">
        <v>648</v>
      </c>
      <c r="C58" s="3017">
        <f ca="1">ROUND(IF(AND(项目基本情况!B11="自然人",项目基本情况!B10="北京市"),C48*F58/(1+'数据-取费表'!C42),C59+C60+C61),0)</f>
        <v>92</v>
      </c>
      <c r="D58" s="2478" t="s">
        <v>649</v>
      </c>
      <c r="E58" s="2479" t="s">
        <v>682</v>
      </c>
      <c r="F58" s="3016">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9"/>
      <c r="O58" s="2251" t="s">
        <v>2363</v>
      </c>
      <c r="P58" s="2252" t="s">
        <v>2394</v>
      </c>
      <c r="Q58" s="2253">
        <f ca="1">L60</f>
        <v>0</v>
      </c>
      <c r="R58" s="2256" t="s">
        <v>2396</v>
      </c>
    </row>
    <row r="59" spans="1:18" s="1940" customFormat="1" ht="28.5" customHeight="1" thickBot="1">
      <c r="A59" s="1575" t="s">
        <v>1819</v>
      </c>
      <c r="B59" s="772" t="s">
        <v>652</v>
      </c>
      <c r="C59" s="52">
        <f ca="1">ROUND(C47*F59/1.05,1)</f>
        <v>0</v>
      </c>
      <c r="D59" s="2479" t="s">
        <v>1744</v>
      </c>
      <c r="E59" s="772" t="s">
        <v>1735</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9"/>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91.6</v>
      </c>
      <c r="D60" s="2479" t="str">
        <f>D33</f>
        <v>按房产原值计税</v>
      </c>
      <c r="E60" s="772" t="s">
        <v>1735</v>
      </c>
      <c r="F60" s="797">
        <f t="shared" si="0"/>
        <v>1.2E-2</v>
      </c>
      <c r="I60" s="2819" t="s">
        <v>2343</v>
      </c>
      <c r="J60" s="2820" t="str">
        <f ca="1">IF(OR(M47="住宅",J51&lt;L48,J56="是"),"0",ROUND(J59/(1+J52)^J53,0))</f>
        <v>0</v>
      </c>
      <c r="K60" s="2821" t="s">
        <v>2348</v>
      </c>
      <c r="L60" s="2820">
        <f ca="1">IF(OR(M47="住宅",L48&lt;J51),0,ROUND(L57*(L58/L59-1),0))</f>
        <v>0</v>
      </c>
      <c r="M60" s="3259"/>
      <c r="O60" s="2254" t="s">
        <v>2366</v>
      </c>
      <c r="P60" s="2252" t="s">
        <v>2375</v>
      </c>
      <c r="Q60" s="2255">
        <f>L52</f>
        <v>0</v>
      </c>
      <c r="R60" s="2256"/>
    </row>
    <row r="61" spans="1:18" s="1940" customFormat="1" ht="18" customHeight="1" thickBot="1">
      <c r="A61" s="1578" t="s">
        <v>1821</v>
      </c>
      <c r="B61" s="337" t="s">
        <v>660</v>
      </c>
      <c r="C61" s="53">
        <f>ROUND(F61*F62/10000,1)</f>
        <v>0.8</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5500.6480000000001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109</v>
      </c>
      <c r="D63" s="2479" t="s">
        <v>1791</v>
      </c>
      <c r="E63" s="772" t="s">
        <v>1735</v>
      </c>
      <c r="F63" s="804">
        <f t="shared" ca="1" si="0"/>
        <v>0.01</v>
      </c>
      <c r="I63" s="2822" t="s">
        <v>2352</v>
      </c>
      <c r="J63" s="2823">
        <v>70</v>
      </c>
      <c r="K63" s="2823">
        <v>50</v>
      </c>
      <c r="L63" s="2823">
        <v>80</v>
      </c>
      <c r="M63" s="2825">
        <v>0.02</v>
      </c>
      <c r="O63" s="2251" t="s">
        <v>2373</v>
      </c>
      <c r="P63" s="2252" t="s">
        <v>2390</v>
      </c>
      <c r="Q63" s="2253">
        <f ca="1">Q57+Q58</f>
        <v>45372</v>
      </c>
      <c r="R63" s="2256" t="s">
        <v>2374</v>
      </c>
    </row>
    <row r="64" spans="1:18" s="1940" customFormat="1" ht="16.5" thickBot="1">
      <c r="A64" s="1576" t="s">
        <v>1878</v>
      </c>
      <c r="B64" s="772" t="s">
        <v>671</v>
      </c>
      <c r="C64" s="52">
        <f ca="1">ROUND(C55*F64,1)</f>
        <v>10.9</v>
      </c>
      <c r="D64" s="2479" t="s">
        <v>672</v>
      </c>
      <c r="E64" s="772" t="s">
        <v>1735</v>
      </c>
      <c r="F64" s="805">
        <f t="shared" ca="1" si="0"/>
        <v>1E-3</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2479" t="s">
        <v>675</v>
      </c>
      <c r="E65" s="772" t="s">
        <v>1735</v>
      </c>
      <c r="F65" s="782">
        <f t="shared" ca="1" si="0"/>
        <v>0.01</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-212</v>
      </c>
      <c r="D66" s="2478" t="s">
        <v>692</v>
      </c>
      <c r="E66" s="2477"/>
      <c r="F66" s="807"/>
      <c r="K66" s="1966"/>
      <c r="O66" s="2251" t="s">
        <v>2361</v>
      </c>
      <c r="P66" s="2252" t="s">
        <v>2391</v>
      </c>
      <c r="Q66" s="2253">
        <f ca="1">C40+J29</f>
        <v>45372</v>
      </c>
      <c r="R66" s="2252" t="s">
        <v>2362</v>
      </c>
    </row>
    <row r="67" spans="1:18" s="1940" customFormat="1" ht="20.25" thickBot="1">
      <c r="A67" s="769" t="s">
        <v>1768</v>
      </c>
      <c r="B67" s="2110" t="s">
        <v>2286</v>
      </c>
      <c r="C67" s="771">
        <f ca="1">ROUND(C66*(1-((1+F69)/(1+F67))^F68)/(F67-F69),0)</f>
        <v>-4074</v>
      </c>
      <c r="D67" s="801" t="s">
        <v>696</v>
      </c>
      <c r="E67" s="772" t="s">
        <v>697</v>
      </c>
      <c r="F67" s="782">
        <f ca="1">F40</f>
        <v>4.2000000000000003E-2</v>
      </c>
      <c r="K67" s="1966"/>
      <c r="O67" s="2251" t="s">
        <v>2363</v>
      </c>
      <c r="P67" s="2252" t="s">
        <v>2394</v>
      </c>
      <c r="Q67" s="2253">
        <f ca="1">L60</f>
        <v>0</v>
      </c>
      <c r="R67" s="2256" t="s">
        <v>2396</v>
      </c>
    </row>
    <row r="68" spans="1:18" ht="21.75" thickBot="1">
      <c r="A68" s="774"/>
      <c r="B68" s="775"/>
      <c r="C68" s="776"/>
      <c r="D68" s="808" t="s">
        <v>1796</v>
      </c>
      <c r="E68" s="772" t="s">
        <v>1772</v>
      </c>
      <c r="F68" s="809">
        <f ca="1">F41</f>
        <v>40</v>
      </c>
      <c r="O68" s="2254" t="s">
        <v>2365</v>
      </c>
      <c r="P68" s="2252" t="s">
        <v>2395</v>
      </c>
      <c r="Q68" s="2258">
        <f ca="1">L51</f>
        <v>141660</v>
      </c>
      <c r="R68" s="2259" t="s">
        <v>2398</v>
      </c>
    </row>
    <row r="69" spans="1:18" ht="20.25" thickBot="1">
      <c r="A69" s="778"/>
      <c r="B69" s="779"/>
      <c r="C69" s="780"/>
      <c r="D69" s="803"/>
      <c r="E69" s="772" t="s">
        <v>702</v>
      </c>
      <c r="F69" s="2224"/>
      <c r="O69" s="2254" t="s">
        <v>2366</v>
      </c>
      <c r="P69" s="2260" t="s">
        <v>2380</v>
      </c>
      <c r="Q69" s="2253">
        <f ca="1">ROUND(Q70-Q71*Q72,0)</f>
        <v>2361</v>
      </c>
      <c r="R69" s="2256"/>
    </row>
    <row r="70" spans="1:18" ht="15.75" thickBot="1">
      <c r="A70" s="810" t="s">
        <v>1775</v>
      </c>
      <c r="B70" s="811" t="s">
        <v>1798</v>
      </c>
      <c r="C70" s="812">
        <f ca="1">ROUND(C67*10000/F70,0)</f>
        <v>-2645</v>
      </c>
      <c r="D70" s="813" t="s">
        <v>1799</v>
      </c>
      <c r="E70" s="814" t="s">
        <v>1800</v>
      </c>
      <c r="F70" s="815">
        <f ca="1">F43</f>
        <v>15401.814</v>
      </c>
      <c r="O70" s="2254" t="s">
        <v>2381</v>
      </c>
      <c r="P70" s="2260" t="s">
        <v>2382</v>
      </c>
      <c r="Q70" s="2253">
        <f ca="1">C39</f>
        <v>2361</v>
      </c>
      <c r="R70" s="2252" t="s">
        <v>2362</v>
      </c>
    </row>
    <row r="71" spans="1:18" ht="15.75" thickBot="1">
      <c r="O71" s="2254" t="s">
        <v>2383</v>
      </c>
      <c r="P71" s="2260" t="s">
        <v>2384</v>
      </c>
      <c r="Q71" s="2253">
        <f ca="1">C13</f>
        <v>10902</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45372</v>
      </c>
      <c r="R76" s="2256" t="s">
        <v>2374</v>
      </c>
    </row>
  </sheetData>
  <sheetProtection formatCells="0" formatColumns="0" formatRows="0"/>
  <mergeCells count="3">
    <mergeCell ref="K53:L53"/>
    <mergeCell ref="B6:B9"/>
    <mergeCell ref="I6:I9"/>
  </mergeCells>
  <phoneticPr fontId="3" type="noConversion"/>
  <conditionalFormatting sqref="K55">
    <cfRule type="expression" dxfId="69" priority="7">
      <formula>$L$48&gt;$J$51</formula>
    </cfRule>
  </conditionalFormatting>
  <conditionalFormatting sqref="I55">
    <cfRule type="expression" dxfId="68" priority="8">
      <formula>$J$51&gt;$L$48</formula>
    </cfRule>
  </conditionalFormatting>
  <conditionalFormatting sqref="I60">
    <cfRule type="expression" dxfId="67" priority="6">
      <formula>$J$51&gt;$L$48</formula>
    </cfRule>
  </conditionalFormatting>
  <conditionalFormatting sqref="K60">
    <cfRule type="expression" dxfId="66" priority="5">
      <formula>$L$48&gt;$J$51</formula>
    </cfRule>
  </conditionalFormatting>
  <conditionalFormatting sqref="C11">
    <cfRule type="expression" dxfId="65" priority="4">
      <formula>$F$10="自定义"</formula>
    </cfRule>
  </conditionalFormatting>
  <conditionalFormatting sqref="J11">
    <cfRule type="expression" dxfId="64" priority="2">
      <formula>$M$10="自定义"</formula>
    </cfRule>
  </conditionalFormatting>
  <conditionalFormatting sqref="C53">
    <cfRule type="expression" dxfId="6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sheetPr>
    <tabColor rgb="FF92D050"/>
    <pageSetUpPr fitToPage="1"/>
  </sheetPr>
  <dimension ref="A1:AG76"/>
  <sheetViews>
    <sheetView view="pageBreakPreview" topLeftCell="B1" zoomScale="80" zoomScaleNormal="60" zoomScaleSheetLayoutView="80" workbookViewId="0">
      <selection activeCell="C30" sqref="C30:C38"/>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1665</v>
      </c>
      <c r="D1" s="2796" t="s">
        <v>941</v>
      </c>
      <c r="E1" s="2240" t="s">
        <v>860</v>
      </c>
      <c r="F1" s="2241">
        <f ca="1">J53</f>
        <v>50</v>
      </c>
      <c r="G1" s="3255">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621</v>
      </c>
      <c r="B2" s="763">
        <f ca="1">C40+J29+L46</f>
        <v>40297</v>
      </c>
      <c r="C2" s="3260"/>
      <c r="D2" s="3261"/>
      <c r="E2" s="3262"/>
      <c r="F2" s="3262"/>
      <c r="G2" s="3256"/>
      <c r="H2" s="1938"/>
      <c r="I2" s="1938"/>
      <c r="J2" s="1938"/>
      <c r="K2" s="1939"/>
      <c r="L2" s="1938"/>
      <c r="M2" s="1938"/>
    </row>
    <row r="3" spans="1:33" ht="18" customHeight="1" thickBot="1">
      <c r="A3" s="820" t="s">
        <v>1715</v>
      </c>
      <c r="B3" s="821">
        <f ca="1">IF(ISERROR(B2*10000/F43),0,ROUND(B2*10000/F43,0))</f>
        <v>26164</v>
      </c>
      <c r="C3" s="3260"/>
      <c r="D3" s="3261"/>
      <c r="E3" s="3262"/>
      <c r="F3" s="3262"/>
      <c r="G3" s="3256"/>
      <c r="H3" s="764" t="s">
        <v>687</v>
      </c>
      <c r="I3" s="1314"/>
      <c r="J3" s="1314"/>
      <c r="K3" s="1524"/>
      <c r="L3" s="1314"/>
      <c r="M3" s="1314"/>
    </row>
    <row r="4" spans="1:33" ht="18" customHeight="1">
      <c r="A4" s="765" t="s">
        <v>1716</v>
      </c>
      <c r="B4" s="766" t="s">
        <v>623</v>
      </c>
      <c r="C4" s="766" t="s">
        <v>1718</v>
      </c>
      <c r="D4" s="766" t="s">
        <v>625</v>
      </c>
      <c r="E4" s="767" t="s">
        <v>1719</v>
      </c>
      <c r="F4" s="768"/>
      <c r="G4" s="1943"/>
      <c r="H4" s="765" t="s">
        <v>1716</v>
      </c>
      <c r="I4" s="766" t="s">
        <v>623</v>
      </c>
      <c r="J4" s="766" t="s">
        <v>1718</v>
      </c>
      <c r="K4" s="766" t="s">
        <v>625</v>
      </c>
      <c r="L4" s="767" t="s">
        <v>1719</v>
      </c>
      <c r="M4" s="768"/>
    </row>
    <row r="5" spans="1:33" ht="18" customHeight="1">
      <c r="A5" s="769">
        <v>1</v>
      </c>
      <c r="B5" s="770" t="s">
        <v>2437</v>
      </c>
      <c r="C5" s="54">
        <f ca="1">C6+C10+C12</f>
        <v>1978</v>
      </c>
      <c r="D5" s="2347" t="s">
        <v>2440</v>
      </c>
      <c r="E5" s="2341"/>
      <c r="F5" s="2342"/>
      <c r="G5" s="1943"/>
      <c r="H5" s="769">
        <v>1</v>
      </c>
      <c r="I5" s="770" t="s">
        <v>2437</v>
      </c>
      <c r="J5" s="54">
        <f ca="1">J6+J10+J12</f>
        <v>0</v>
      </c>
      <c r="K5" s="2347" t="s">
        <v>2440</v>
      </c>
      <c r="L5" s="2341"/>
      <c r="M5" s="2342"/>
    </row>
    <row r="6" spans="1:33" ht="18" customHeight="1">
      <c r="A6" s="1743" t="s">
        <v>1812</v>
      </c>
      <c r="B6" s="3666" t="s">
        <v>2442</v>
      </c>
      <c r="C6" s="771">
        <f ca="1">ROUND(F6*F8*F7*(1-F9)/10000,0)</f>
        <v>1976</v>
      </c>
      <c r="D6" s="2348" t="s">
        <v>2441</v>
      </c>
      <c r="E6" s="772" t="s">
        <v>629</v>
      </c>
      <c r="F6" s="773">
        <f ca="1">INDIRECT("'数据-取费表'!u"&amp;$G$1)</f>
        <v>3.7</v>
      </c>
      <c r="G6" s="1943"/>
      <c r="H6" s="2355" t="s">
        <v>1812</v>
      </c>
      <c r="I6" s="3666" t="s">
        <v>2442</v>
      </c>
      <c r="J6" s="771">
        <f ca="1">ROUND(M6*M8*M7*(1-M9)/10000,0)</f>
        <v>0</v>
      </c>
      <c r="K6" s="337" t="s">
        <v>1725</v>
      </c>
      <c r="L6" s="772" t="s">
        <v>629</v>
      </c>
      <c r="M6" s="773">
        <f ca="1">INDIRECT("'数据-取费表'!z"&amp;$G$1)</f>
        <v>0</v>
      </c>
    </row>
    <row r="7" spans="1:33" ht="18" customHeight="1">
      <c r="A7" s="2351"/>
      <c r="B7" s="3667"/>
      <c r="C7" s="776"/>
      <c r="D7" s="777"/>
      <c r="E7" s="772" t="s">
        <v>630</v>
      </c>
      <c r="F7" s="3369">
        <f ca="1">IF(INDIRECT("'数据-取费表'!ah"&amp;$G$1)="",INDIRECT("'数据-取费表'!k"&amp;$G$1),INDIRECT("'数据-取费表'!ah"&amp;$G$1))</f>
        <v>15401.814</v>
      </c>
      <c r="G7" s="1943"/>
      <c r="H7" s="2340"/>
      <c r="I7" s="3667"/>
      <c r="J7" s="776"/>
      <c r="K7" s="777"/>
      <c r="L7" s="772" t="s">
        <v>630</v>
      </c>
      <c r="M7" s="773">
        <f ca="1">F7</f>
        <v>15401.814</v>
      </c>
    </row>
    <row r="8" spans="1:33" ht="18" customHeight="1">
      <c r="A8" s="2344"/>
      <c r="B8" s="3668"/>
      <c r="C8" s="776"/>
      <c r="D8" s="777"/>
      <c r="E8" s="772" t="s">
        <v>1728</v>
      </c>
      <c r="F8" s="773">
        <f ca="1">INDIRECT("'数据-取费表'!ai"&amp;$G$1)</f>
        <v>365</v>
      </c>
      <c r="G8" s="1943"/>
      <c r="H8" s="2340"/>
      <c r="I8" s="3668"/>
      <c r="J8" s="776"/>
      <c r="K8" s="777"/>
      <c r="L8" s="772" t="s">
        <v>1728</v>
      </c>
      <c r="M8" s="773">
        <f ca="1">INDIRECT("'数据-取费表'!ai"&amp;$G$1)</f>
        <v>365</v>
      </c>
    </row>
    <row r="9" spans="1:33" ht="18" customHeight="1">
      <c r="A9" s="774"/>
      <c r="B9" s="3669"/>
      <c r="C9" s="776"/>
      <c r="D9" s="777"/>
      <c r="E9" s="772" t="s">
        <v>632</v>
      </c>
      <c r="F9" s="782">
        <f ca="1">INDIRECT("'数据-取费表'!w"&amp;$G$1)</f>
        <v>0.05</v>
      </c>
      <c r="G9" s="1943"/>
      <c r="H9" s="2356"/>
      <c r="I9" s="3668"/>
      <c r="J9" s="776"/>
      <c r="K9" s="777"/>
      <c r="L9" s="783" t="s">
        <v>632</v>
      </c>
      <c r="M9" s="784">
        <f ca="1">INDIRECT("'数据-取费表'!ab"&amp;$G$1)</f>
        <v>0</v>
      </c>
    </row>
    <row r="10" spans="1:33" ht="18" customHeight="1">
      <c r="A10" s="1743" t="s">
        <v>1813</v>
      </c>
      <c r="B10" s="2345" t="s">
        <v>2438</v>
      </c>
      <c r="C10" s="787">
        <f ca="1">ROUND(IF(F10="押一",C6/12*F11,IF(F10="押二",C6/12*2*F11,IF(F10="押三",C6/12*3*F11,C11*F11))),0)</f>
        <v>2</v>
      </c>
      <c r="D10" s="2352" t="s">
        <v>2933</v>
      </c>
      <c r="E10" s="2349" t="s">
        <v>2443</v>
      </c>
      <c r="F10" s="2463" t="s">
        <v>3169</v>
      </c>
      <c r="G10" s="1943"/>
      <c r="H10" s="2412" t="s">
        <v>1813</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2435</v>
      </c>
      <c r="F11" s="784">
        <f ca="1">'数据-取费表'!B39</f>
        <v>1.4999999999999999E-2</v>
      </c>
      <c r="G11" s="1943"/>
      <c r="H11" s="2413"/>
      <c r="I11" s="2346" t="s">
        <v>2552</v>
      </c>
      <c r="J11" s="2350"/>
      <c r="K11" s="2414"/>
      <c r="L11" s="2349" t="s">
        <v>2435</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2">
        <v>2</v>
      </c>
      <c r="B13" s="1740" t="s">
        <v>636</v>
      </c>
      <c r="C13" s="780">
        <f ca="1">ROUND(C29*F13,0)</f>
        <v>10489</v>
      </c>
      <c r="D13" s="1747" t="s">
        <v>2282</v>
      </c>
      <c r="E13" s="1747" t="s">
        <v>635</v>
      </c>
      <c r="F13" s="2387">
        <f ca="1">INDIRECT("'数据-取费表'!y"&amp;$G$1)</f>
        <v>1</v>
      </c>
      <c r="G13" s="1943"/>
      <c r="H13" s="1742">
        <v>2</v>
      </c>
      <c r="I13" s="1740" t="s">
        <v>636</v>
      </c>
      <c r="J13" s="1732">
        <f ca="1">ROUND(J14*J15,0)</f>
        <v>0</v>
      </c>
      <c r="K13" s="1734" t="s">
        <v>634</v>
      </c>
      <c r="L13" s="2403"/>
      <c r="M13" s="2404"/>
    </row>
    <row r="14" spans="1:33" ht="18" customHeight="1">
      <c r="A14" s="1575" t="s">
        <v>1819</v>
      </c>
      <c r="B14" s="772" t="s">
        <v>637</v>
      </c>
      <c r="C14" s="792">
        <f ca="1">INDIRECT("'数据-取费表'!m"&amp;$G$1)+INDIRECT("'数据-取费表'!t"&amp;$G$1)</f>
        <v>6931</v>
      </c>
      <c r="D14" s="3336" t="s">
        <v>1733</v>
      </c>
      <c r="E14" s="3337"/>
      <c r="F14" s="793"/>
      <c r="G14" s="1943"/>
      <c r="H14" s="1576" t="s">
        <v>1812</v>
      </c>
      <c r="I14" s="2109" t="s">
        <v>2802</v>
      </c>
      <c r="J14" s="52">
        <f ca="1">C29</f>
        <v>10489</v>
      </c>
      <c r="K14" s="25"/>
      <c r="L14" s="789"/>
      <c r="M14" s="790"/>
    </row>
    <row r="15" spans="1:33" s="1945" customFormat="1" ht="18" customHeight="1" thickBot="1">
      <c r="A15" s="1575" t="s">
        <v>1820</v>
      </c>
      <c r="B15" s="772" t="s">
        <v>639</v>
      </c>
      <c r="C15" s="52">
        <f ca="1">ROUND(C14*F15,0)</f>
        <v>208</v>
      </c>
      <c r="D15" s="794" t="s">
        <v>640</v>
      </c>
      <c r="E15" s="794" t="s">
        <v>641</v>
      </c>
      <c r="F15" s="795">
        <f>'数据-取费表'!B33</f>
        <v>0.03</v>
      </c>
      <c r="G15" s="3257"/>
      <c r="H15" s="2402" t="s">
        <v>1877</v>
      </c>
      <c r="I15" s="2397" t="s">
        <v>635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1821</v>
      </c>
      <c r="B16" s="772" t="s">
        <v>642</v>
      </c>
      <c r="C16" s="52">
        <f ca="1">ROUND(INDIRECT("'数据-取费表'!m"&amp;$G$1)*F16,0)</f>
        <v>0</v>
      </c>
      <c r="D16" s="772" t="s">
        <v>640</v>
      </c>
      <c r="E16" s="772" t="s">
        <v>641</v>
      </c>
      <c r="F16" s="797">
        <f ca="1">IF(INDIRECT("'数据-取费表'!c"&amp;$G$1)="住宅",'数据-取费表'!B34,0)</f>
        <v>0</v>
      </c>
      <c r="G16" s="1943"/>
      <c r="H16" s="1742" t="s">
        <v>1736</v>
      </c>
      <c r="I16" s="1740" t="s">
        <v>1737</v>
      </c>
      <c r="J16" s="780">
        <f ca="1">ROUND(J17+J22+J23+J24,0)</f>
        <v>140</v>
      </c>
      <c r="K16" s="1734" t="s">
        <v>644</v>
      </c>
      <c r="L16" s="3338"/>
      <c r="M16" s="2342"/>
    </row>
    <row r="17" spans="1:33" s="1945" customFormat="1" ht="18" customHeight="1">
      <c r="A17" s="1575" t="s">
        <v>1875</v>
      </c>
      <c r="B17" s="772" t="s">
        <v>645</v>
      </c>
      <c r="C17" s="52">
        <f ca="1">ROUND(F17*(F43+INDIRECT("'数据-取费表'!S"&amp;$G$1))/10000,0)</f>
        <v>308</v>
      </c>
      <c r="D17" s="772" t="s">
        <v>646</v>
      </c>
      <c r="E17" s="772" t="s">
        <v>647</v>
      </c>
      <c r="F17" s="55">
        <f>'数据-取费表'!B35</f>
        <v>200</v>
      </c>
      <c r="G17" s="3257"/>
      <c r="H17" s="1576" t="s">
        <v>1812</v>
      </c>
      <c r="I17" s="772" t="s">
        <v>648</v>
      </c>
      <c r="J17" s="3017">
        <f ca="1">ROUND(IF(AND(项目基本情况!B11="自然人",项目基本情况!B10="北京市"),J6*M17/(1+'数据-取费表'!C42),J18+J19+J20),0)</f>
        <v>88</v>
      </c>
      <c r="K17" s="3336" t="s">
        <v>649</v>
      </c>
      <c r="L17" s="3335" t="s">
        <v>1742</v>
      </c>
      <c r="M17" s="3016">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104</v>
      </c>
      <c r="D18" s="772" t="s">
        <v>640</v>
      </c>
      <c r="E18" s="772" t="s">
        <v>641</v>
      </c>
      <c r="F18" s="797">
        <f>'数据-取费表'!B36</f>
        <v>1.4999999999999999E-2</v>
      </c>
      <c r="G18" s="3257"/>
      <c r="H18" s="1575" t="s">
        <v>1819</v>
      </c>
      <c r="I18" s="772" t="s">
        <v>1743</v>
      </c>
      <c r="J18" s="52">
        <f ca="1">ROUND(J6*M18/(1+'数据-取费表'!C42),1)</f>
        <v>0</v>
      </c>
      <c r="K18" s="3335" t="s">
        <v>653</v>
      </c>
      <c r="L18" s="772" t="s">
        <v>641</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1812</v>
      </c>
      <c r="B19" s="772" t="s">
        <v>654</v>
      </c>
      <c r="C19" s="52">
        <f ca="1">SUM(C14:C18)</f>
        <v>7551</v>
      </c>
      <c r="D19" s="257" t="s">
        <v>655</v>
      </c>
      <c r="E19" s="3340"/>
      <c r="F19" s="55"/>
      <c r="G19" s="1943"/>
      <c r="H19" s="1575" t="s">
        <v>1820</v>
      </c>
      <c r="I19" s="772" t="s">
        <v>1746</v>
      </c>
      <c r="J19" s="52">
        <f ca="1">IF(K19="按租金收入计税",ROUND(J6*M19/(1+'数据-取费表'!C42),1),ROUND(C29*F33*0.7,1))</f>
        <v>88.1</v>
      </c>
      <c r="K19" s="798" t="s">
        <v>657</v>
      </c>
      <c r="L19" s="772" t="s">
        <v>641</v>
      </c>
      <c r="M19" s="797">
        <f>IF(K19="按租金收入计税",'数据-取费表'!B51,'数据-取费表'!B50)</f>
        <v>1.2E-2</v>
      </c>
    </row>
    <row r="20" spans="1:33" s="1945" customFormat="1" ht="18" customHeight="1">
      <c r="A20" s="1576" t="s">
        <v>1877</v>
      </c>
      <c r="B20" s="772" t="s">
        <v>658</v>
      </c>
      <c r="C20" s="52">
        <f ca="1">ROUND(C19*F20,0)</f>
        <v>76</v>
      </c>
      <c r="D20" s="799" t="s">
        <v>659</v>
      </c>
      <c r="E20" s="772" t="s">
        <v>641</v>
      </c>
      <c r="F20" s="3395">
        <f>剩余法办公!F23</f>
        <v>0.01</v>
      </c>
      <c r="G20" s="3257"/>
      <c r="H20" s="1578" t="s">
        <v>1821</v>
      </c>
      <c r="I20" s="337" t="s">
        <v>1748</v>
      </c>
      <c r="J20" s="53">
        <f ca="1">ROUND(M20*M21/10000,0)</f>
        <v>0</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663</v>
      </c>
      <c r="C21" s="52" t="s">
        <v>1752</v>
      </c>
      <c r="D21" s="799" t="s">
        <v>2283</v>
      </c>
      <c r="E21" s="772" t="s">
        <v>1753</v>
      </c>
      <c r="F21" s="3395">
        <f>剩余法办公!F24</f>
        <v>0.01</v>
      </c>
      <c r="G21" s="3257"/>
      <c r="H21" s="2357"/>
      <c r="I21" s="781"/>
      <c r="J21" s="68"/>
      <c r="K21" s="803"/>
      <c r="L21" s="772" t="s">
        <v>666</v>
      </c>
      <c r="M21" s="773">
        <f ca="1">INDIRECT("'数据-取费表'!r"&amp;$G$1)</f>
        <v>2750.33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667</v>
      </c>
      <c r="C22" s="52"/>
      <c r="D22" s="2422" t="str">
        <f>IF(F23&lt;=1,"单利计息。","复利计息。")&amp;"建造成本、管理费用、销售费用产生的利息。"</f>
        <v>复利计息。建造成本、管理费用、销售费用产生的利息。</v>
      </c>
      <c r="E22" s="3340"/>
      <c r="F22" s="55"/>
      <c r="G22" s="1943"/>
      <c r="H22" s="1576" t="s">
        <v>1877</v>
      </c>
      <c r="I22" s="772" t="s">
        <v>668</v>
      </c>
      <c r="J22" s="52">
        <f ca="1">ROUND(J14*M22,0)</f>
        <v>52</v>
      </c>
      <c r="K22" s="3335" t="s">
        <v>1757</v>
      </c>
      <c r="L22" s="772" t="s">
        <v>641</v>
      </c>
      <c r="M22" s="804">
        <f ca="1">INDIRECT("'数据-取费表'!Ak"&amp;$G$1)</f>
        <v>5.0000000000000001E-3</v>
      </c>
    </row>
    <row r="23" spans="1:33" s="1945" customFormat="1" ht="18" customHeight="1">
      <c r="A23" s="1575" t="s">
        <v>1819</v>
      </c>
      <c r="B23" s="772" t="s">
        <v>2418</v>
      </c>
      <c r="C23" s="52">
        <f ca="1">ROUND(IF('数据-取费表'!B22&lt;=1,(C19+C20)*F24*F23/2,(C19+C20)*(POWER((1+F24),F23/2)-1)),0)</f>
        <v>270</v>
      </c>
      <c r="D23" s="2421" t="str">
        <f>IF(F23&lt;=1,"(建造成本+管理费用)×利率×(建设周期÷2)","(建造成本+管理费用)×((1+利率)^(建设周期÷2)-1)")</f>
        <v>(建造成本+管理费用)×((1+利率)^(建设周期÷2)-1)</v>
      </c>
      <c r="E23" s="772" t="s">
        <v>1758</v>
      </c>
      <c r="F23" s="630">
        <f>'数据-取费表'!B20</f>
        <v>1.5</v>
      </c>
      <c r="G23" s="3257"/>
      <c r="H23" s="1576" t="s">
        <v>1878</v>
      </c>
      <c r="I23" s="772" t="s">
        <v>671</v>
      </c>
      <c r="J23" s="52">
        <f ca="1">ROUND(J13*M23,0)</f>
        <v>0</v>
      </c>
      <c r="K23" s="3335" t="s">
        <v>1759</v>
      </c>
      <c r="L23" s="772" t="s">
        <v>641</v>
      </c>
      <c r="M23" s="805">
        <f ca="1">INDIRECT("'数据-取费表'!Al"&amp;$G$1)</f>
        <v>5.0000000000000001E-4</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4.0000000000000002E-4</v>
      </c>
      <c r="D24" s="2421" t="str">
        <f>IF(F23&lt;=1,"销售费用×利率×(建设周期÷2)","销售费用×((1+利率)^(建设周期÷2)-1)")</f>
        <v>销售费用×((1+利率)^(建设周期÷2)-1)</v>
      </c>
      <c r="E24" s="772" t="s">
        <v>674</v>
      </c>
      <c r="F24" s="806">
        <f ca="1">'数据-取费表'!B40</f>
        <v>4.7500000000000001E-2</v>
      </c>
      <c r="G24" s="3257"/>
      <c r="H24" s="2402" t="s">
        <v>1879</v>
      </c>
      <c r="I24" s="2397" t="s">
        <v>658</v>
      </c>
      <c r="J24" s="2395">
        <f ca="1">ROUND(J5*M24,0)</f>
        <v>0</v>
      </c>
      <c r="K24" s="2396" t="s">
        <v>1762</v>
      </c>
      <c r="L24" s="2397" t="s">
        <v>641</v>
      </c>
      <c r="M24" s="2393">
        <f ca="1">INDIRECT("'数据-取费表'!Am"&amp;$G$1)</f>
        <v>5.0000000000000001E-3</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3340"/>
      <c r="F25" s="55"/>
      <c r="G25" s="1943"/>
      <c r="H25" s="1742" t="s">
        <v>1764</v>
      </c>
      <c r="I25" s="2721" t="s">
        <v>2799</v>
      </c>
      <c r="J25" s="780">
        <f ca="1">J5-J16</f>
        <v>-140</v>
      </c>
      <c r="K25" s="2399" t="s">
        <v>1765</v>
      </c>
      <c r="L25" s="2400"/>
      <c r="M25" s="2401"/>
    </row>
    <row r="26" spans="1:33" ht="18" customHeight="1">
      <c r="A26" s="1575" t="s">
        <v>1819</v>
      </c>
      <c r="B26" s="772" t="s">
        <v>2419</v>
      </c>
      <c r="C26" s="52">
        <f ca="1">ROUND((C19+C20)*F26,0)</f>
        <v>1907</v>
      </c>
      <c r="D26" s="799" t="s">
        <v>693</v>
      </c>
      <c r="E26" s="783" t="s">
        <v>694</v>
      </c>
      <c r="F26" s="782">
        <f ca="1">INDIRECT("'数据-取费表'!q"&amp;$G$1)</f>
        <v>0.25</v>
      </c>
      <c r="G26" s="1943"/>
      <c r="H26" s="2353" t="s">
        <v>1768</v>
      </c>
      <c r="I26" s="2110" t="s">
        <v>2804</v>
      </c>
      <c r="J26" s="771">
        <f ca="1">IF(J5&lt;&gt;0,ROUND(J25*(1-((1+M28)/(1+M26))^M27)/(M26-M28),0),0)</f>
        <v>0</v>
      </c>
      <c r="K26" s="801" t="s">
        <v>696</v>
      </c>
      <c r="L26" s="772" t="s">
        <v>2401</v>
      </c>
      <c r="M26" s="782">
        <f ca="1">INDIRECT("'数据-取费表'!I"&amp;$G$1)</f>
        <v>3.5000000000000003E-2</v>
      </c>
    </row>
    <row r="27" spans="1:33" ht="18" customHeight="1">
      <c r="A27" s="1575" t="s">
        <v>1820</v>
      </c>
      <c r="B27" s="772" t="s">
        <v>678</v>
      </c>
      <c r="C27" s="52">
        <f ca="1">ROUND(F21*F26,4)</f>
        <v>2.5000000000000001E-3</v>
      </c>
      <c r="D27" s="799" t="s">
        <v>698</v>
      </c>
      <c r="E27" s="794"/>
      <c r="F27" s="795"/>
      <c r="G27" s="1943"/>
      <c r="H27" s="2354"/>
      <c r="I27" s="775"/>
      <c r="J27" s="776"/>
      <c r="K27" s="808" t="s">
        <v>699</v>
      </c>
      <c r="L27" s="772" t="s">
        <v>700</v>
      </c>
      <c r="M27" s="809">
        <f ca="1">INDIRECT("'数据-取费表'!ag"&amp;$G$1)</f>
        <v>0</v>
      </c>
    </row>
    <row r="28" spans="1:33" s="1945" customFormat="1" ht="18" customHeight="1">
      <c r="A28" s="1577" t="s">
        <v>1829</v>
      </c>
      <c r="B28" s="772" t="s">
        <v>679</v>
      </c>
      <c r="C28" s="52">
        <f>ROUND(F28/(1+'数据-取费表'!C42),4)</f>
        <v>5.2400000000000002E-2</v>
      </c>
      <c r="D28" s="799" t="s">
        <v>2284</v>
      </c>
      <c r="E28" s="772" t="s">
        <v>641</v>
      </c>
      <c r="F28" s="797">
        <f>'数据-取费表'!B41</f>
        <v>5.5000000000000007E-2</v>
      </c>
      <c r="G28" s="3257"/>
      <c r="H28" s="1742"/>
      <c r="I28" s="779"/>
      <c r="J28" s="780"/>
      <c r="K28" s="803"/>
      <c r="L28" s="772" t="s">
        <v>702</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10489</v>
      </c>
      <c r="D29" s="2396"/>
      <c r="E29" s="2397"/>
      <c r="F29" s="2398"/>
      <c r="G29" s="3257"/>
      <c r="H29" s="810" t="s">
        <v>1775</v>
      </c>
      <c r="I29" s="811" t="s">
        <v>1776</v>
      </c>
      <c r="J29" s="812">
        <f ca="1">ROUND(J26/(1+F40)^F41,0)</f>
        <v>0</v>
      </c>
      <c r="K29" s="813" t="s">
        <v>1777</v>
      </c>
      <c r="L29" s="814"/>
      <c r="M29" s="815">
        <f ca="1">INDIRECT("'数据-取费表'!k"&amp;$G$1)</f>
        <v>15401.814</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1736</v>
      </c>
      <c r="B30" s="1740" t="s">
        <v>1737</v>
      </c>
      <c r="C30" s="780">
        <f ca="1">ROUND(C31+C36+C37+C38,0)</f>
        <v>260</v>
      </c>
      <c r="D30" s="1734" t="s">
        <v>644</v>
      </c>
      <c r="E30" s="3338"/>
      <c r="F30" s="2342"/>
      <c r="G30" s="1943"/>
      <c r="H30" s="1946"/>
      <c r="I30" s="1947"/>
      <c r="J30" s="1948"/>
      <c r="K30" s="1949"/>
      <c r="L30" s="1950"/>
      <c r="M30" s="1951"/>
    </row>
    <row r="31" spans="1:33" ht="18" customHeight="1">
      <c r="A31" s="1576" t="s">
        <v>1812</v>
      </c>
      <c r="B31" s="772" t="s">
        <v>648</v>
      </c>
      <c r="C31" s="3017">
        <f ca="1">ROUND(IF(AND(项目基本情况!B11="自然人",项目基本情况!B10="北京市"),C6*F31/(1+'数据-取费表'!C42),C32+C33+C34),0)</f>
        <v>192</v>
      </c>
      <c r="D31" s="3336" t="s">
        <v>649</v>
      </c>
      <c r="E31" s="3335" t="s">
        <v>1781</v>
      </c>
      <c r="F31" s="3016">
        <f ca="1">IF(项目基本情况!B11="企业","——",IF('数据-取费表'!B10="住宅",IF(F6*F7*F8/12/(1+'数据-取费表'!F30)&gt;100000,4%,2.5%),IF(F6*F7*F8/12/(1+'数据-取费表'!F30)&gt;100000,12%,7%)))</f>
        <v>0.12</v>
      </c>
      <c r="G31" s="1943"/>
      <c r="H31" s="3254" t="s">
        <v>2987</v>
      </c>
      <c r="I31" s="1947"/>
      <c r="J31" s="1948"/>
      <c r="K31" s="1949"/>
      <c r="L31" s="1950"/>
      <c r="M31" s="1951"/>
    </row>
    <row r="32" spans="1:33" ht="18" customHeight="1">
      <c r="A32" s="1575" t="s">
        <v>1819</v>
      </c>
      <c r="B32" s="772" t="s">
        <v>1743</v>
      </c>
      <c r="C32" s="52">
        <f ca="1">ROUND(C6*F32/(1+'数据-取费表'!C42),1)</f>
        <v>103.5</v>
      </c>
      <c r="D32" s="3335" t="s">
        <v>653</v>
      </c>
      <c r="E32" s="772" t="s">
        <v>641</v>
      </c>
      <c r="F32" s="797">
        <f>'数据-取费表'!B41</f>
        <v>5.5000000000000007E-2</v>
      </c>
      <c r="G32" s="1943"/>
      <c r="H32" s="1952"/>
      <c r="I32" s="1953"/>
      <c r="J32" s="1954"/>
      <c r="K32" s="1955"/>
      <c r="L32" s="1956"/>
      <c r="M32" s="1957"/>
    </row>
    <row r="33" spans="1:18" ht="18" customHeight="1">
      <c r="A33" s="1575" t="s">
        <v>1820</v>
      </c>
      <c r="B33" s="772" t="s">
        <v>1746</v>
      </c>
      <c r="C33" s="52">
        <f ca="1">IF(D33="按租金收入计税",ROUND(C6*F33/(1+'数据-取费表'!C42),1),IF(D33="按房产原值计税",ROUND(C29*F33*0.7,1),INDIRECT("'数据-取费表'!Aj"&amp;$G$1)))</f>
        <v>88.1</v>
      </c>
      <c r="D33" s="798" t="s">
        <v>1668</v>
      </c>
      <c r="E33" s="772" t="s">
        <v>641</v>
      </c>
      <c r="F33" s="797">
        <f>IF(D33="按租金收入计税",'数据-取费表'!B51,'数据-取费表'!B50)</f>
        <v>1.2E-2</v>
      </c>
      <c r="G33" s="1943"/>
      <c r="H33" s="1958"/>
      <c r="I33" s="1958"/>
      <c r="J33" s="1958"/>
      <c r="K33" s="1959"/>
      <c r="L33" s="1958"/>
      <c r="M33" s="1958"/>
    </row>
    <row r="34" spans="1:18" ht="18" customHeight="1">
      <c r="A34" s="1578" t="s">
        <v>1821</v>
      </c>
      <c r="B34" s="337" t="s">
        <v>1748</v>
      </c>
      <c r="C34" s="53">
        <f>ROUND(F34*F35/10000,1)</f>
        <v>0.8</v>
      </c>
      <c r="D34" s="801" t="s">
        <v>1749</v>
      </c>
      <c r="E34" s="772" t="s">
        <v>1750</v>
      </c>
      <c r="F34" s="630">
        <f>'数据-取费表'!B52</f>
        <v>1.5</v>
      </c>
      <c r="G34" s="1943"/>
      <c r="H34" s="1946"/>
      <c r="I34" s="822" t="s">
        <v>1801</v>
      </c>
      <c r="J34" s="823"/>
      <c r="K34" s="1961"/>
      <c r="L34" s="1960"/>
      <c r="M34" s="1960"/>
    </row>
    <row r="35" spans="1:18" ht="18" customHeight="1">
      <c r="A35" s="802"/>
      <c r="B35" s="781"/>
      <c r="C35" s="68"/>
      <c r="D35" s="803"/>
      <c r="E35" s="772" t="s">
        <v>666</v>
      </c>
      <c r="F35" s="773">
        <f>'数据-基础表'!A3</f>
        <v>5500.6480000000001</v>
      </c>
      <c r="G35" s="1943"/>
      <c r="H35" s="1946"/>
      <c r="I35" s="824" t="s">
        <v>1802</v>
      </c>
      <c r="J35" s="825">
        <f ca="1">ROUND(C13*J36,0)</f>
        <v>0</v>
      </c>
      <c r="K35" s="1959"/>
      <c r="L35" s="1958"/>
      <c r="M35" s="1958"/>
    </row>
    <row r="36" spans="1:18" ht="18" customHeight="1">
      <c r="A36" s="1576" t="s">
        <v>1877</v>
      </c>
      <c r="B36" s="772" t="s">
        <v>668</v>
      </c>
      <c r="C36" s="52">
        <f ca="1">ROUND(C29*F36,1)</f>
        <v>52.4</v>
      </c>
      <c r="D36" s="3335" t="s">
        <v>1791</v>
      </c>
      <c r="E36" s="772" t="s">
        <v>641</v>
      </c>
      <c r="F36" s="804">
        <f ca="1">INDIRECT("'数据-取费表'!Ak"&amp;$G$1)</f>
        <v>5.0000000000000001E-3</v>
      </c>
      <c r="G36" s="1943"/>
      <c r="H36" s="1958"/>
      <c r="I36" s="826" t="s">
        <v>1803</v>
      </c>
      <c r="J36" s="827">
        <f ca="1">INDIRECT("'数据-取费表'!j"&amp;$G$1)</f>
        <v>0</v>
      </c>
      <c r="K36" s="1962"/>
      <c r="L36" s="1958"/>
      <c r="M36" s="1958"/>
    </row>
    <row r="37" spans="1:18" ht="18" customHeight="1">
      <c r="A37" s="1576" t="s">
        <v>1878</v>
      </c>
      <c r="B37" s="772" t="s">
        <v>671</v>
      </c>
      <c r="C37" s="52">
        <f ca="1">ROUND(C13*F37,1)</f>
        <v>5.2</v>
      </c>
      <c r="D37" s="3335" t="s">
        <v>1759</v>
      </c>
      <c r="E37" s="772" t="s">
        <v>641</v>
      </c>
      <c r="F37" s="805">
        <f ca="1">INDIRECT("'数据-取费表'!Al"&amp;$G$1)</f>
        <v>5.0000000000000001E-4</v>
      </c>
      <c r="G37" s="1943"/>
      <c r="H37" s="1958"/>
      <c r="I37" s="828" t="s">
        <v>1804</v>
      </c>
      <c r="J37" s="829"/>
      <c r="K37" s="1962"/>
      <c r="L37" s="1958"/>
      <c r="M37" s="1958"/>
    </row>
    <row r="38" spans="1:18" ht="18" customHeight="1" thickBot="1">
      <c r="A38" s="2402" t="s">
        <v>1879</v>
      </c>
      <c r="B38" s="2397" t="s">
        <v>658</v>
      </c>
      <c r="C38" s="2395">
        <f ca="1">ROUND(C5*F38,1)</f>
        <v>9.9</v>
      </c>
      <c r="D38" s="2396" t="s">
        <v>1762</v>
      </c>
      <c r="E38" s="2397" t="s">
        <v>641</v>
      </c>
      <c r="F38" s="2393">
        <f ca="1">INDIRECT("'数据-取费表'!Am"&amp;$G$1)</f>
        <v>5.0000000000000001E-3</v>
      </c>
      <c r="G38" s="1943"/>
      <c r="H38" s="1958"/>
      <c r="I38" s="830" t="s">
        <v>1805</v>
      </c>
      <c r="J38" s="831"/>
      <c r="K38" s="1963"/>
      <c r="L38" s="1958"/>
      <c r="M38" s="1958"/>
    </row>
    <row r="39" spans="1:18" ht="24.6" customHeight="1" thickTop="1">
      <c r="A39" s="1742" t="s">
        <v>1764</v>
      </c>
      <c r="B39" s="2721" t="s">
        <v>2799</v>
      </c>
      <c r="C39" s="780">
        <f ca="1">C5-C30</f>
        <v>1718</v>
      </c>
      <c r="D39" s="2399" t="s">
        <v>1765</v>
      </c>
      <c r="E39" s="2400"/>
      <c r="F39" s="2401"/>
      <c r="G39" s="1943"/>
      <c r="H39" s="1958"/>
      <c r="I39" s="824" t="s">
        <v>1806</v>
      </c>
      <c r="J39" s="832">
        <f ca="1">ROUND(J35/C39,3)</f>
        <v>0</v>
      </c>
      <c r="K39" s="1963"/>
      <c r="L39" s="1958"/>
      <c r="M39" s="1958"/>
    </row>
    <row r="40" spans="1:18" ht="18" customHeight="1">
      <c r="A40" s="769" t="s">
        <v>1768</v>
      </c>
      <c r="B40" s="2110" t="s">
        <v>2286</v>
      </c>
      <c r="C40" s="771">
        <f ca="1">ROUND(C39*(1-((1+F42)/(1+F40))^F41)/(F40-F42),0)</f>
        <v>40297</v>
      </c>
      <c r="D40" s="801" t="s">
        <v>696</v>
      </c>
      <c r="E40" s="772" t="s">
        <v>2401</v>
      </c>
      <c r="F40" s="782">
        <f ca="1">INDIRECT("'数据-取费表'!I"&amp;$G$1)</f>
        <v>3.5000000000000003E-2</v>
      </c>
      <c r="G40" s="1943"/>
      <c r="H40" s="1943"/>
      <c r="I40" s="824" t="s">
        <v>1807</v>
      </c>
      <c r="J40" s="832">
        <f ca="1">1-J39</f>
        <v>1</v>
      </c>
      <c r="K40" s="1963"/>
      <c r="L40" s="1943"/>
      <c r="M40" s="1943"/>
    </row>
    <row r="41" spans="1:18" ht="18" customHeight="1">
      <c r="A41" s="774"/>
      <c r="B41" s="775"/>
      <c r="C41" s="776"/>
      <c r="D41" s="808" t="s">
        <v>1796</v>
      </c>
      <c r="E41" s="772" t="s">
        <v>700</v>
      </c>
      <c r="F41" s="809">
        <f ca="1">IF(INDIRECT("'数据-取费表'!af"&amp;$G$1)=0,INDIRECT("'数据-取费表'!ae"&amp;$G$1),INDIRECT("'数据-取费表'!af"&amp;$G$1))</f>
        <v>50</v>
      </c>
      <c r="G41" s="1943"/>
      <c r="H41" s="1898"/>
      <c r="I41" s="830" t="s">
        <v>1808</v>
      </c>
      <c r="J41" s="833"/>
      <c r="K41" s="1962"/>
      <c r="L41" s="1898"/>
      <c r="M41" s="1898"/>
    </row>
    <row r="42" spans="1:18" ht="18" customHeight="1">
      <c r="A42" s="778"/>
      <c r="B42" s="779"/>
      <c r="C42" s="780"/>
      <c r="D42" s="803"/>
      <c r="E42" s="772" t="s">
        <v>702</v>
      </c>
      <c r="F42" s="782">
        <f ca="1">INDIRECT("'数据-取费表'!v"&amp;$G$1)</f>
        <v>0</v>
      </c>
      <c r="G42" s="1943"/>
      <c r="H42" s="1898"/>
      <c r="I42" s="834" t="s">
        <v>1809</v>
      </c>
      <c r="J42" s="832">
        <f ca="1">ROUND(C13/C40,3)</f>
        <v>0.26</v>
      </c>
      <c r="K42" s="1962"/>
      <c r="L42" s="1898"/>
      <c r="M42" s="1898"/>
    </row>
    <row r="43" spans="1:18" ht="18" customHeight="1" thickBot="1">
      <c r="A43" s="810" t="s">
        <v>1775</v>
      </c>
      <c r="B43" s="811" t="s">
        <v>1798</v>
      </c>
      <c r="C43" s="812">
        <f ca="1">ROUND(C40*10000/F43,0)</f>
        <v>26164</v>
      </c>
      <c r="D43" s="813" t="s">
        <v>1799</v>
      </c>
      <c r="E43" s="814" t="s">
        <v>1800</v>
      </c>
      <c r="F43" s="815">
        <f ca="1">INDIRECT("'数据-取费表'!k"&amp;$G$1)</f>
        <v>15401.814</v>
      </c>
      <c r="G43" s="1943"/>
      <c r="H43" s="1898"/>
      <c r="I43" s="834" t="s">
        <v>1810</v>
      </c>
      <c r="J43" s="835">
        <f ca="1">1-J42</f>
        <v>0.74</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-43745</v>
      </c>
      <c r="D46" s="3258"/>
      <c r="E46" s="3258"/>
      <c r="F46" s="3258"/>
      <c r="I46" s="2231" t="s">
        <v>2325</v>
      </c>
      <c r="J46" s="2232"/>
      <c r="K46" s="2233"/>
      <c r="L46" s="2809" t="str">
        <f ca="1">IF(OR(M47="住宅",D1="土地（套用方法）"),0,IF(L48&gt;J51,L60,J60))</f>
        <v>0</v>
      </c>
      <c r="M46" s="3259"/>
      <c r="O46" s="2247" t="s">
        <v>2392</v>
      </c>
      <c r="P46" s="1525"/>
      <c r="Q46" s="1533"/>
      <c r="R46" s="1525"/>
    </row>
    <row r="47" spans="1:18" s="1940" customFormat="1" ht="18" customHeight="1" thickBot="1">
      <c r="A47" s="2225">
        <v>1</v>
      </c>
      <c r="B47" s="2226" t="s">
        <v>627</v>
      </c>
      <c r="C47" s="2424">
        <f ca="1">C48+C52+C54</f>
        <v>0</v>
      </c>
      <c r="D47" s="3258"/>
      <c r="E47" s="3258"/>
      <c r="F47" s="3258"/>
      <c r="I47" s="2800" t="s">
        <v>2326</v>
      </c>
      <c r="J47" s="2234" t="s">
        <v>3080</v>
      </c>
      <c r="K47" s="2806" t="s">
        <v>2331</v>
      </c>
      <c r="L47" s="2810">
        <f ca="1">INDIRECT("'数据-取费表'!d"&amp;$G$1)</f>
        <v>50</v>
      </c>
      <c r="M47" s="1533" t="str">
        <f>IF(ISNUMBER(FIND("住宅",C1)),"住宅","非住宅")</f>
        <v>非住宅</v>
      </c>
      <c r="O47" s="2248" t="s">
        <v>2357</v>
      </c>
      <c r="P47" s="2249" t="s">
        <v>2358</v>
      </c>
      <c r="Q47" s="2250" t="s">
        <v>2359</v>
      </c>
      <c r="R47" s="2249" t="s">
        <v>2360</v>
      </c>
    </row>
    <row r="48" spans="1:18" s="1940" customFormat="1" ht="18" customHeight="1" thickBot="1">
      <c r="A48" s="2482" t="s">
        <v>1858</v>
      </c>
      <c r="B48" s="2483" t="s">
        <v>2517</v>
      </c>
      <c r="C48" s="2227">
        <f ca="1">ROUND(F48*F50*F49*(1-F51)/10000,0)</f>
        <v>0</v>
      </c>
      <c r="D48" s="2228" t="s">
        <v>628</v>
      </c>
      <c r="E48" s="2229" t="s">
        <v>2281</v>
      </c>
      <c r="F48" s="2230"/>
      <c r="G48" s="1970"/>
      <c r="I48" s="2797" t="s">
        <v>2327</v>
      </c>
      <c r="J48" s="2235" t="s">
        <v>2332</v>
      </c>
      <c r="K48" s="2807" t="s">
        <v>2333</v>
      </c>
      <c r="L48" s="1820">
        <f ca="1">INDIRECT("'数据-取费表'!f"&amp;$G$1)</f>
        <v>50</v>
      </c>
      <c r="M48" s="3259"/>
      <c r="O48" s="2251" t="s">
        <v>2361</v>
      </c>
      <c r="P48" s="2252" t="s">
        <v>2387</v>
      </c>
      <c r="Q48" s="2253">
        <f ca="1">C40+J29</f>
        <v>40297</v>
      </c>
      <c r="R48" s="2252" t="s">
        <v>2362</v>
      </c>
    </row>
    <row r="49" spans="1:18" s="1940" customFormat="1" ht="18" customHeight="1" thickBot="1">
      <c r="A49" s="774"/>
      <c r="B49" s="775"/>
      <c r="C49" s="776"/>
      <c r="D49" s="777"/>
      <c r="E49" s="772" t="s">
        <v>630</v>
      </c>
      <c r="F49" s="773">
        <f ca="1">F7</f>
        <v>15401.814</v>
      </c>
      <c r="G49" s="1970"/>
      <c r="H49" s="1973"/>
      <c r="I49" s="2797" t="s">
        <v>2328</v>
      </c>
      <c r="J49" s="2236"/>
      <c r="K49" s="2808" t="s">
        <v>2334</v>
      </c>
      <c r="L49" s="2237"/>
      <c r="M49" s="3259"/>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9"/>
      <c r="O50" s="2254" t="s">
        <v>2365</v>
      </c>
      <c r="P50" s="2252" t="s">
        <v>2389</v>
      </c>
      <c r="Q50" s="2253">
        <f ca="1">C29</f>
        <v>10489</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103080</v>
      </c>
      <c r="M51" s="3259"/>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2933</v>
      </c>
      <c r="E52" s="2349" t="s">
        <v>2443</v>
      </c>
      <c r="F52" s="2463"/>
      <c r="I52" s="2802" t="s">
        <v>2403</v>
      </c>
      <c r="J52" s="2238"/>
      <c r="K52" s="2802" t="s">
        <v>2402</v>
      </c>
      <c r="L52" s="2238"/>
      <c r="M52" s="3259"/>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50</v>
      </c>
      <c r="K53" s="3703" t="s">
        <v>2926</v>
      </c>
      <c r="L53" s="3704"/>
      <c r="M53" s="3259"/>
      <c r="O53" s="2254" t="s">
        <v>2370</v>
      </c>
      <c r="P53" s="2252" t="s">
        <v>2371</v>
      </c>
      <c r="Q53" s="2253">
        <f ca="1">J53</f>
        <v>50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2373</v>
      </c>
      <c r="P54" s="2252" t="s">
        <v>2390</v>
      </c>
      <c r="Q54" s="2253">
        <f ca="1">Q48+Q49</f>
        <v>40297</v>
      </c>
      <c r="R54" s="2256" t="s">
        <v>2374</v>
      </c>
    </row>
    <row r="55" spans="1:18" s="1940" customFormat="1" ht="18" customHeight="1" thickTop="1" thickBot="1">
      <c r="A55" s="785">
        <v>2</v>
      </c>
      <c r="B55" s="786" t="s">
        <v>636</v>
      </c>
      <c r="C55" s="787">
        <f ca="1">C13</f>
        <v>10489</v>
      </c>
      <c r="D55" s="783"/>
      <c r="E55" s="783"/>
      <c r="F55" s="788"/>
      <c r="I55" s="2814" t="s">
        <v>2337</v>
      </c>
      <c r="J55" s="2786" t="e">
        <f ca="1">ROUND(IF(J47="钢混",J57/J50,1-(1-2%)*(J50-J57)/J50),3)</f>
        <v>#VALUE!</v>
      </c>
      <c r="K55" s="2815" t="s">
        <v>2338</v>
      </c>
      <c r="L55" s="2239"/>
      <c r="M55" s="3259"/>
      <c r="O55" s="2257" t="s">
        <v>2393</v>
      </c>
      <c r="P55" s="1525"/>
      <c r="Q55" s="1533"/>
      <c r="R55" s="1525"/>
    </row>
    <row r="56" spans="1:18" s="1940" customFormat="1" ht="42.75" customHeight="1" thickBot="1">
      <c r="A56" s="1577"/>
      <c r="B56" s="2109" t="s">
        <v>2285</v>
      </c>
      <c r="C56" s="52">
        <f ca="1">C29</f>
        <v>10489</v>
      </c>
      <c r="D56" s="3335"/>
      <c r="E56" s="772"/>
      <c r="F56" s="797"/>
      <c r="I56" s="2816" t="s">
        <v>2339</v>
      </c>
      <c r="J56" s="2826" t="s">
        <v>1666</v>
      </c>
      <c r="K56" s="2797" t="s">
        <v>2344</v>
      </c>
      <c r="L56" s="1820" t="str">
        <f ca="1">IF(L48&lt;J51,"——",L48-J51)</f>
        <v>——</v>
      </c>
      <c r="M56" s="3259"/>
      <c r="O56" s="2248" t="s">
        <v>2357</v>
      </c>
      <c r="P56" s="2249" t="s">
        <v>2358</v>
      </c>
      <c r="Q56" s="2250" t="s">
        <v>2359</v>
      </c>
      <c r="R56" s="2249" t="s">
        <v>2360</v>
      </c>
    </row>
    <row r="57" spans="1:18" s="1940" customFormat="1" ht="28.5" customHeight="1" thickBot="1">
      <c r="A57" s="785" t="s">
        <v>1736</v>
      </c>
      <c r="B57" s="786" t="s">
        <v>643</v>
      </c>
      <c r="C57" s="787">
        <f ca="1">ROUND(C58+C63+C64+C65,0)</f>
        <v>147</v>
      </c>
      <c r="D57" s="25" t="s">
        <v>644</v>
      </c>
      <c r="E57" s="3340"/>
      <c r="F57" s="55"/>
      <c r="I57" s="2817" t="s">
        <v>2340</v>
      </c>
      <c r="J57" s="2818" t="str">
        <f ca="1">IF(OR(M47="住宅",J51&lt;L48,J56="是"),"——",J51-L48)</f>
        <v>——</v>
      </c>
      <c r="K57" s="2797" t="s">
        <v>2345</v>
      </c>
      <c r="L57" s="1820" t="str">
        <f ca="1">IF(L48&lt;J51,"——",IF(L55="比较法",L49,IF(L55="基准地价",L50,L51)))</f>
        <v>——</v>
      </c>
      <c r="M57" s="3259"/>
      <c r="O57" s="2251" t="s">
        <v>2361</v>
      </c>
      <c r="P57" s="2252" t="s">
        <v>2387</v>
      </c>
      <c r="Q57" s="2253">
        <f ca="1">C40+J29</f>
        <v>40297</v>
      </c>
      <c r="R57" s="2252" t="s">
        <v>2362</v>
      </c>
    </row>
    <row r="58" spans="1:18" s="1940" customFormat="1" ht="28.5" customHeight="1" thickBot="1">
      <c r="A58" s="1576" t="s">
        <v>1812</v>
      </c>
      <c r="B58" s="772" t="s">
        <v>648</v>
      </c>
      <c r="C58" s="3017">
        <f ca="1">ROUND(IF(AND(项目基本情况!B11="自然人",项目基本情况!B10="北京市"),C48*F58/(1+'数据-取费表'!C42),C59+C60+C61),0)</f>
        <v>89</v>
      </c>
      <c r="D58" s="3336" t="s">
        <v>649</v>
      </c>
      <c r="E58" s="3335" t="s">
        <v>682</v>
      </c>
      <c r="F58" s="3016">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9"/>
      <c r="O58" s="2251" t="s">
        <v>2363</v>
      </c>
      <c r="P58" s="2252" t="s">
        <v>2394</v>
      </c>
      <c r="Q58" s="2253">
        <f ca="1">L60</f>
        <v>0</v>
      </c>
      <c r="R58" s="2256" t="s">
        <v>2396</v>
      </c>
    </row>
    <row r="59" spans="1:18" s="1940" customFormat="1" ht="28.5" customHeight="1" thickBot="1">
      <c r="A59" s="1575" t="s">
        <v>1819</v>
      </c>
      <c r="B59" s="772" t="s">
        <v>652</v>
      </c>
      <c r="C59" s="52">
        <f ca="1">ROUND(C47*F59/1.05,1)</f>
        <v>0</v>
      </c>
      <c r="D59" s="3335" t="s">
        <v>653</v>
      </c>
      <c r="E59" s="772" t="s">
        <v>641</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9"/>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88.1</v>
      </c>
      <c r="D60" s="3335" t="str">
        <f>D33</f>
        <v>按房产原值计税</v>
      </c>
      <c r="E60" s="772" t="s">
        <v>641</v>
      </c>
      <c r="F60" s="797">
        <f t="shared" si="0"/>
        <v>1.2E-2</v>
      </c>
      <c r="I60" s="2819" t="s">
        <v>2343</v>
      </c>
      <c r="J60" s="2820" t="str">
        <f ca="1">IF(OR(M47="住宅",J51&lt;L48,J56="是"),"0",ROUND(J59/(1+J52)^J53,0))</f>
        <v>0</v>
      </c>
      <c r="K60" s="2821" t="s">
        <v>2348</v>
      </c>
      <c r="L60" s="2820">
        <f ca="1">IF(OR(M47="住宅",L48&lt;J51),0,ROUND(L57*(L58/L59-1),0))</f>
        <v>0</v>
      </c>
      <c r="M60" s="3259"/>
      <c r="O60" s="2254" t="s">
        <v>2366</v>
      </c>
      <c r="P60" s="2252" t="s">
        <v>2375</v>
      </c>
      <c r="Q60" s="2255">
        <f>L52</f>
        <v>0</v>
      </c>
      <c r="R60" s="2256"/>
    </row>
    <row r="61" spans="1:18" s="1940" customFormat="1" ht="18" customHeight="1" thickBot="1">
      <c r="A61" s="1578" t="s">
        <v>1821</v>
      </c>
      <c r="B61" s="337" t="s">
        <v>660</v>
      </c>
      <c r="C61" s="53">
        <f>ROUND(F61*F62/10000,1)</f>
        <v>0.8</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5500.6480000000001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52.4</v>
      </c>
      <c r="D63" s="3335" t="s">
        <v>1791</v>
      </c>
      <c r="E63" s="772" t="s">
        <v>641</v>
      </c>
      <c r="F63" s="804">
        <f t="shared" ca="1" si="0"/>
        <v>5.0000000000000001E-3</v>
      </c>
      <c r="I63" s="2822" t="s">
        <v>2352</v>
      </c>
      <c r="J63" s="2823">
        <v>70</v>
      </c>
      <c r="K63" s="2823">
        <v>50</v>
      </c>
      <c r="L63" s="2823">
        <v>80</v>
      </c>
      <c r="M63" s="2825">
        <v>0.02</v>
      </c>
      <c r="O63" s="2251" t="s">
        <v>2373</v>
      </c>
      <c r="P63" s="2252" t="s">
        <v>2390</v>
      </c>
      <c r="Q63" s="2253">
        <f ca="1">Q57+Q58</f>
        <v>40297</v>
      </c>
      <c r="R63" s="2256" t="s">
        <v>2374</v>
      </c>
    </row>
    <row r="64" spans="1:18" s="1940" customFormat="1" ht="16.5" thickBot="1">
      <c r="A64" s="1576" t="s">
        <v>1878</v>
      </c>
      <c r="B64" s="772" t="s">
        <v>671</v>
      </c>
      <c r="C64" s="52">
        <f ca="1">ROUND(C55*F64,1)</f>
        <v>5.2</v>
      </c>
      <c r="D64" s="3335" t="s">
        <v>672</v>
      </c>
      <c r="E64" s="772" t="s">
        <v>641</v>
      </c>
      <c r="F64" s="805">
        <f t="shared" ca="1" si="0"/>
        <v>5.0000000000000001E-4</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3335" t="s">
        <v>675</v>
      </c>
      <c r="E65" s="772" t="s">
        <v>641</v>
      </c>
      <c r="F65" s="782">
        <f t="shared" ca="1" si="0"/>
        <v>5.0000000000000001E-3</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-147</v>
      </c>
      <c r="D66" s="3336" t="s">
        <v>692</v>
      </c>
      <c r="E66" s="3339"/>
      <c r="F66" s="807"/>
      <c r="K66" s="1966"/>
      <c r="O66" s="2251" t="s">
        <v>2361</v>
      </c>
      <c r="P66" s="2252" t="s">
        <v>2387</v>
      </c>
      <c r="Q66" s="2253">
        <f ca="1">C40+J29</f>
        <v>40297</v>
      </c>
      <c r="R66" s="2252" t="s">
        <v>2362</v>
      </c>
    </row>
    <row r="67" spans="1:18" s="1940" customFormat="1" ht="20.25" thickBot="1">
      <c r="A67" s="769" t="s">
        <v>1768</v>
      </c>
      <c r="B67" s="2110" t="s">
        <v>2286</v>
      </c>
      <c r="C67" s="771">
        <f ca="1">ROUND(C66*(1-((1+F69)/(1+F67))^F68)/(F67-F69),0)</f>
        <v>-3448</v>
      </c>
      <c r="D67" s="801" t="s">
        <v>696</v>
      </c>
      <c r="E67" s="772" t="s">
        <v>697</v>
      </c>
      <c r="F67" s="782">
        <f ca="1">F40</f>
        <v>3.5000000000000003E-2</v>
      </c>
      <c r="K67" s="1966"/>
      <c r="O67" s="2251" t="s">
        <v>2363</v>
      </c>
      <c r="P67" s="2252" t="s">
        <v>2394</v>
      </c>
      <c r="Q67" s="2253">
        <f ca="1">L60</f>
        <v>0</v>
      </c>
      <c r="R67" s="2256" t="s">
        <v>2396</v>
      </c>
    </row>
    <row r="68" spans="1:18" ht="21.75" thickBot="1">
      <c r="A68" s="774"/>
      <c r="B68" s="775"/>
      <c r="C68" s="776"/>
      <c r="D68" s="808" t="s">
        <v>1796</v>
      </c>
      <c r="E68" s="772" t="s">
        <v>700</v>
      </c>
      <c r="F68" s="809">
        <f ca="1">F41</f>
        <v>50</v>
      </c>
      <c r="O68" s="2254" t="s">
        <v>2365</v>
      </c>
      <c r="P68" s="2252" t="s">
        <v>2395</v>
      </c>
      <c r="Q68" s="2258">
        <f ca="1">L51</f>
        <v>103080</v>
      </c>
      <c r="R68" s="2259" t="s">
        <v>2398</v>
      </c>
    </row>
    <row r="69" spans="1:18" ht="20.25" thickBot="1">
      <c r="A69" s="778"/>
      <c r="B69" s="779"/>
      <c r="C69" s="780"/>
      <c r="D69" s="803"/>
      <c r="E69" s="772" t="s">
        <v>702</v>
      </c>
      <c r="F69" s="2224"/>
      <c r="O69" s="2254" t="s">
        <v>2366</v>
      </c>
      <c r="P69" s="2260" t="s">
        <v>2380</v>
      </c>
      <c r="Q69" s="2253">
        <f ca="1">ROUND(Q70-Q71*Q72,0)</f>
        <v>1718</v>
      </c>
      <c r="R69" s="2256"/>
    </row>
    <row r="70" spans="1:18" ht="15.75" thickBot="1">
      <c r="A70" s="810" t="s">
        <v>1775</v>
      </c>
      <c r="B70" s="811" t="s">
        <v>1798</v>
      </c>
      <c r="C70" s="812">
        <f ca="1">ROUND(C67*10000/F70,0)</f>
        <v>-2239</v>
      </c>
      <c r="D70" s="813" t="s">
        <v>1799</v>
      </c>
      <c r="E70" s="814" t="s">
        <v>1800</v>
      </c>
      <c r="F70" s="815">
        <f ca="1">F43</f>
        <v>15401.814</v>
      </c>
      <c r="O70" s="2254" t="s">
        <v>2381</v>
      </c>
      <c r="P70" s="2260" t="s">
        <v>2382</v>
      </c>
      <c r="Q70" s="2253">
        <f ca="1">C39</f>
        <v>1718</v>
      </c>
      <c r="R70" s="2252" t="s">
        <v>2362</v>
      </c>
    </row>
    <row r="71" spans="1:18" ht="15.75" thickBot="1">
      <c r="O71" s="2254" t="s">
        <v>2383</v>
      </c>
      <c r="P71" s="2260" t="s">
        <v>2384</v>
      </c>
      <c r="Q71" s="2253">
        <f ca="1">C13</f>
        <v>10489</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40297</v>
      </c>
      <c r="R76" s="2256" t="s">
        <v>2374</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2" priority="6">
      <formula>$L$48&gt;$J$51</formula>
    </cfRule>
  </conditionalFormatting>
  <conditionalFormatting sqref="I55">
    <cfRule type="expression" dxfId="61" priority="7">
      <formula>$J$51&gt;$L$48</formula>
    </cfRule>
  </conditionalFormatting>
  <conditionalFormatting sqref="I60">
    <cfRule type="expression" dxfId="60" priority="5">
      <formula>$J$51&gt;$L$48</formula>
    </cfRule>
  </conditionalFormatting>
  <conditionalFormatting sqref="K60">
    <cfRule type="expression" dxfId="59" priority="4">
      <formula>$L$48&gt;$J$51</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dimension ref="A1"/>
  <sheetViews>
    <sheetView topLeftCell="A28" workbookViewId="0"/>
  </sheetViews>
  <sheetFormatPr defaultColWidth="9" defaultRowHeight="13.5"/>
  <cols>
    <col min="1" max="16384" width="9" style="3370"/>
  </cols>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780</v>
      </c>
      <c r="C1" s="496" t="s">
        <v>712</v>
      </c>
      <c r="D1" s="836"/>
      <c r="E1" s="498"/>
      <c r="F1" s="2522"/>
      <c r="G1" s="1530" t="s">
        <v>713</v>
      </c>
      <c r="H1" s="498"/>
      <c r="I1" s="498"/>
      <c r="J1" s="498"/>
      <c r="K1" s="499"/>
      <c r="L1" s="3206"/>
      <c r="M1" s="3207"/>
      <c r="N1" s="3207"/>
      <c r="O1" s="3207"/>
      <c r="P1" s="2012"/>
      <c r="Q1" s="2012"/>
      <c r="R1" s="2012"/>
      <c r="S1" s="2012"/>
      <c r="T1" s="2012"/>
      <c r="U1" s="2012"/>
      <c r="V1" s="2012"/>
      <c r="W1" s="2012"/>
      <c r="X1" s="2012"/>
      <c r="Y1" s="2012"/>
      <c r="Z1" s="2012"/>
      <c r="AA1" s="2012"/>
      <c r="AB1" s="2012"/>
      <c r="AC1" s="1942"/>
    </row>
    <row r="2" spans="1:29" s="1288" customFormat="1" ht="28.5" customHeight="1">
      <c r="A2" s="415" t="s">
        <v>459</v>
      </c>
      <c r="B2" s="837"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1" t="s">
        <v>511</v>
      </c>
      <c r="B3" s="502" t="e">
        <f>C43</f>
        <v>#DIV/0!</v>
      </c>
      <c r="C3" s="839" t="s">
        <v>714</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513</v>
      </c>
      <c r="B4" s="505"/>
      <c r="C4" s="3584" t="s">
        <v>514</v>
      </c>
      <c r="D4" s="3585"/>
      <c r="E4" s="3618" t="s">
        <v>515</v>
      </c>
      <c r="F4" s="3619"/>
      <c r="G4" s="3584" t="s">
        <v>516</v>
      </c>
      <c r="H4" s="3585"/>
      <c r="I4" s="3584" t="s">
        <v>517</v>
      </c>
      <c r="J4" s="3585"/>
      <c r="K4" s="506" t="s">
        <v>518</v>
      </c>
      <c r="L4" s="2013"/>
      <c r="M4" s="2014"/>
      <c r="N4" s="2014"/>
      <c r="O4" s="2014"/>
      <c r="P4" s="3586" t="s">
        <v>519</v>
      </c>
      <c r="Q4" s="3587"/>
      <c r="R4" s="3592" t="s">
        <v>515</v>
      </c>
      <c r="S4" s="3593"/>
      <c r="T4" s="3592" t="s">
        <v>516</v>
      </c>
      <c r="U4" s="3593"/>
      <c r="V4" s="3579" t="s">
        <v>517</v>
      </c>
      <c r="W4" s="3579"/>
      <c r="X4" s="1500"/>
      <c r="Y4" s="3592" t="s">
        <v>519</v>
      </c>
      <c r="Z4" s="3593"/>
      <c r="AA4" s="3581" t="s">
        <v>515</v>
      </c>
      <c r="AB4" s="3582" t="s">
        <v>516</v>
      </c>
      <c r="AC4" s="3581" t="s">
        <v>517</v>
      </c>
    </row>
    <row r="5" spans="1:29" ht="15">
      <c r="A5" s="507"/>
      <c r="B5" s="508"/>
      <c r="C5" s="3600" t="s">
        <v>2892</v>
      </c>
      <c r="D5" s="3601"/>
      <c r="E5" s="3620" t="s">
        <v>2893</v>
      </c>
      <c r="F5" s="3621"/>
      <c r="G5" s="3600" t="s">
        <v>2894</v>
      </c>
      <c r="H5" s="3601"/>
      <c r="I5" s="3600" t="s">
        <v>2895</v>
      </c>
      <c r="J5" s="3601"/>
      <c r="K5" s="506"/>
      <c r="L5" s="2013"/>
      <c r="M5" s="2014"/>
      <c r="N5" s="2014"/>
      <c r="O5" s="2014"/>
      <c r="P5" s="3588"/>
      <c r="Q5" s="3589"/>
      <c r="R5" s="3594"/>
      <c r="S5" s="3595"/>
      <c r="T5" s="3594"/>
      <c r="U5" s="3595"/>
      <c r="V5" s="3579"/>
      <c r="W5" s="3579"/>
      <c r="X5" s="1500"/>
      <c r="Y5" s="3594"/>
      <c r="Z5" s="3595"/>
      <c r="AA5" s="3582"/>
      <c r="AB5" s="3582"/>
      <c r="AC5" s="3582"/>
    </row>
    <row r="6" spans="1:29" ht="15.75" thickBot="1">
      <c r="A6" s="509"/>
      <c r="B6" s="510"/>
      <c r="C6" s="3598" t="s">
        <v>2896</v>
      </c>
      <c r="D6" s="3599"/>
      <c r="E6" s="3616" t="s">
        <v>2896</v>
      </c>
      <c r="F6" s="3617"/>
      <c r="G6" s="3598" t="s">
        <v>2896</v>
      </c>
      <c r="H6" s="3599"/>
      <c r="I6" s="3598" t="s">
        <v>2896</v>
      </c>
      <c r="J6" s="3599"/>
      <c r="K6" s="506" t="s">
        <v>520</v>
      </c>
      <c r="L6" s="2013"/>
      <c r="M6" s="2014"/>
      <c r="N6" s="2014"/>
      <c r="O6" s="2014"/>
      <c r="P6" s="3590"/>
      <c r="Q6" s="3591"/>
      <c r="R6" s="3594"/>
      <c r="S6" s="3595"/>
      <c r="T6" s="3596"/>
      <c r="U6" s="3597"/>
      <c r="V6" s="3579"/>
      <c r="W6" s="3579"/>
      <c r="X6" s="1500"/>
      <c r="Y6" s="3596"/>
      <c r="Z6" s="3597"/>
      <c r="AA6" s="3583"/>
      <c r="AB6" s="3583"/>
      <c r="AC6" s="3583"/>
    </row>
    <row r="7" spans="1:29" s="1201" customFormat="1" ht="15.75" thickBot="1">
      <c r="A7" s="2627"/>
      <c r="B7" s="2634" t="s">
        <v>521</v>
      </c>
      <c r="C7" s="511">
        <f>'数据-取费表'!B2</f>
        <v>44424</v>
      </c>
      <c r="D7" s="512">
        <v>100</v>
      </c>
      <c r="E7" s="513"/>
      <c r="F7" s="514">
        <f>SUMIF(52:52,YEAR(E7)&amp;"-"&amp;MONTH(E7),53:53)</f>
        <v>0</v>
      </c>
      <c r="G7" s="513"/>
      <c r="H7" s="512">
        <f>SUMIF(52:52,YEAR(G7)&amp;"-"&amp;MONTH(G7),53:53)</f>
        <v>0</v>
      </c>
      <c r="I7" s="513"/>
      <c r="J7" s="512">
        <f>SUMIF(52:52,YEAR(I7)&amp;"-"&amp;MONTH(I7),53:53)</f>
        <v>0</v>
      </c>
      <c r="K7" s="516"/>
      <c r="L7" s="2015"/>
      <c r="M7" s="2016"/>
      <c r="N7" s="2016"/>
      <c r="O7" s="2016"/>
      <c r="P7" s="3609" t="s">
        <v>522</v>
      </c>
      <c r="Q7" s="3611"/>
      <c r="R7" s="1501" t="s">
        <v>8</v>
      </c>
      <c r="S7" s="1502">
        <f t="shared" ref="S7:S15" si="0">F7</f>
        <v>0</v>
      </c>
      <c r="T7" s="1501" t="s">
        <v>8</v>
      </c>
      <c r="U7" s="1502">
        <f t="shared" ref="U7:U15" si="1">H7</f>
        <v>0</v>
      </c>
      <c r="V7" s="1501" t="s">
        <v>8</v>
      </c>
      <c r="W7" s="1502">
        <f t="shared" ref="W7:W15" si="2">J7</f>
        <v>0</v>
      </c>
      <c r="X7" s="1503"/>
      <c r="Y7" s="3609" t="s">
        <v>522</v>
      </c>
      <c r="Z7" s="3610"/>
      <c r="AA7" s="1504" t="e">
        <f>D7/F7</f>
        <v>#DIV/0!</v>
      </c>
      <c r="AB7" s="1504" t="e">
        <f>D7/H7</f>
        <v>#DIV/0!</v>
      </c>
      <c r="AC7" s="1504" t="e">
        <f>D7/J7</f>
        <v>#DIV/0!</v>
      </c>
    </row>
    <row r="8" spans="1:29" s="1201" customFormat="1" ht="15.75" thickBot="1">
      <c r="A8" s="2628"/>
      <c r="B8" s="2635" t="s">
        <v>523</v>
      </c>
      <c r="C8" s="517" t="s">
        <v>568</v>
      </c>
      <c r="D8" s="512">
        <v>100</v>
      </c>
      <c r="E8" s="517"/>
      <c r="F8" s="514">
        <f>SUMIF(55:55,E8,56:56)-SUMIF(55:55,C8,56:56)+100</f>
        <v>0</v>
      </c>
      <c r="G8" s="517"/>
      <c r="H8" s="512">
        <f>SUMIF(55:55,G8,56:56)-SUMIF(55:55,C8,56:56)+100</f>
        <v>0</v>
      </c>
      <c r="I8" s="517"/>
      <c r="J8" s="512">
        <f>SUMIF(55:55,I8,56:56)-SUMIF(55:55,C8,56:56)+100</f>
        <v>0</v>
      </c>
      <c r="K8" s="516"/>
      <c r="L8" s="2015"/>
      <c r="M8" s="2016"/>
      <c r="N8" s="2016"/>
      <c r="O8" s="2016"/>
      <c r="P8" s="3609" t="s">
        <v>525</v>
      </c>
      <c r="Q8" s="3610"/>
      <c r="R8" s="1501" t="s">
        <v>8</v>
      </c>
      <c r="S8" s="1502">
        <f t="shared" si="0"/>
        <v>0</v>
      </c>
      <c r="T8" s="1501" t="s">
        <v>8</v>
      </c>
      <c r="U8" s="1502">
        <f t="shared" si="1"/>
        <v>0</v>
      </c>
      <c r="V8" s="1501" t="s">
        <v>8</v>
      </c>
      <c r="W8" s="1502">
        <f t="shared" si="2"/>
        <v>0</v>
      </c>
      <c r="X8" s="1503"/>
      <c r="Y8" s="3609" t="s">
        <v>525</v>
      </c>
      <c r="Z8" s="3610"/>
      <c r="AA8" s="1504" t="e">
        <f t="shared" ref="AA8:AA40" si="3">D8/F8</f>
        <v>#DIV/0!</v>
      </c>
      <c r="AB8" s="1504" t="e">
        <f t="shared" ref="AB8:AB40" si="4">D8/H8</f>
        <v>#DIV/0!</v>
      </c>
      <c r="AC8" s="1504" t="e">
        <f t="shared" ref="AC8:AC40" si="5">D8/J8</f>
        <v>#DIV/0!</v>
      </c>
    </row>
    <row r="9" spans="1:29" s="1201" customFormat="1" ht="15">
      <c r="A9" s="2629"/>
      <c r="B9" s="2636" t="s">
        <v>2734</v>
      </c>
      <c r="C9" s="844"/>
      <c r="D9" s="250">
        <v>100</v>
      </c>
      <c r="E9" s="847"/>
      <c r="F9" s="250">
        <f>SUMIF(57:57,E9,58:58)-SUMIF(57:57,C9,58:58)+100</f>
        <v>100</v>
      </c>
      <c r="G9" s="845"/>
      <c r="H9" s="250">
        <f>SUMIF(57:57,G9,58:58)-SUMIF(57:57,C9,58:58)+100</f>
        <v>100</v>
      </c>
      <c r="I9" s="845"/>
      <c r="J9" s="250">
        <f>SUMIF(57:57,I9,58:58)-SUMIF(57:57,C9,58:58)+100</f>
        <v>100</v>
      </c>
      <c r="K9" s="516"/>
      <c r="L9" s="2015"/>
      <c r="M9" s="2016"/>
      <c r="N9" s="2016"/>
      <c r="O9" s="2017"/>
      <c r="P9" s="3578" t="s">
        <v>527</v>
      </c>
      <c r="Q9" s="1132" t="str">
        <f t="shared" ref="Q9:Q15" si="6">B9</f>
        <v>用途</v>
      </c>
      <c r="R9" s="1501" t="s">
        <v>8</v>
      </c>
      <c r="S9" s="1502">
        <f t="shared" si="0"/>
        <v>100</v>
      </c>
      <c r="T9" s="1501" t="s">
        <v>8</v>
      </c>
      <c r="U9" s="1502">
        <f t="shared" si="1"/>
        <v>100</v>
      </c>
      <c r="V9" s="1501" t="s">
        <v>8</v>
      </c>
      <c r="W9" s="1502">
        <f t="shared" si="2"/>
        <v>100</v>
      </c>
      <c r="X9" s="1503"/>
      <c r="Y9" s="3524" t="s">
        <v>528</v>
      </c>
      <c r="Z9" s="1131" t="str">
        <f t="shared" ref="Z9:Z15" si="7">Q9</f>
        <v>用途</v>
      </c>
      <c r="AA9" s="1504">
        <f t="shared" si="3"/>
        <v>1</v>
      </c>
      <c r="AB9" s="1504">
        <f t="shared" si="4"/>
        <v>1</v>
      </c>
      <c r="AC9" s="1504">
        <f t="shared" si="5"/>
        <v>1</v>
      </c>
    </row>
    <row r="10" spans="1:29" s="1290" customFormat="1" ht="27">
      <c r="A10" s="2630"/>
      <c r="B10" s="2635" t="s">
        <v>2735</v>
      </c>
      <c r="C10" s="848"/>
      <c r="D10" s="251">
        <v>100</v>
      </c>
      <c r="E10" s="848"/>
      <c r="F10" s="251">
        <f>SUMIF(59:59,E10,60:60)-SUMIF(59:59,C10,60:60)+100</f>
        <v>100</v>
      </c>
      <c r="G10" s="849"/>
      <c r="H10" s="251">
        <f>SUMIF(59:59,G10,60:60)-SUMIF(59:59,C10,60:60)+100</f>
        <v>100</v>
      </c>
      <c r="I10" s="848"/>
      <c r="J10" s="251">
        <f>SUMIF(59:59,I10,60:60)-SUMIF(59:59,C10,60:60)+100</f>
        <v>100</v>
      </c>
      <c r="K10" s="576"/>
      <c r="L10" s="2018"/>
      <c r="M10" s="2057"/>
      <c r="N10" s="2057"/>
      <c r="O10" s="2019"/>
      <c r="P10" s="3578"/>
      <c r="Q10" s="1132" t="str">
        <f t="shared" si="6"/>
        <v>土地使用年限（年）</v>
      </c>
      <c r="R10" s="1501" t="s">
        <v>8</v>
      </c>
      <c r="S10" s="1502">
        <f t="shared" si="0"/>
        <v>100</v>
      </c>
      <c r="T10" s="1501" t="s">
        <v>8</v>
      </c>
      <c r="U10" s="1502">
        <f t="shared" si="1"/>
        <v>100</v>
      </c>
      <c r="V10" s="1501" t="s">
        <v>8</v>
      </c>
      <c r="W10" s="1502">
        <f t="shared" si="2"/>
        <v>100</v>
      </c>
      <c r="X10" s="1503"/>
      <c r="Y10" s="3524"/>
      <c r="Z10" s="1131" t="str">
        <f t="shared" si="7"/>
        <v>土地使用年限（年）</v>
      </c>
      <c r="AA10" s="1504">
        <f t="shared" si="3"/>
        <v>1</v>
      </c>
      <c r="AB10" s="1504">
        <f t="shared" si="4"/>
        <v>1</v>
      </c>
      <c r="AC10" s="1504">
        <f t="shared" si="5"/>
        <v>1</v>
      </c>
    </row>
    <row r="11" spans="1:29" ht="15">
      <c r="A11" s="2631"/>
      <c r="B11" s="2635"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20"/>
      <c r="M11" s="2014"/>
      <c r="N11" s="2014"/>
      <c r="O11" s="2021"/>
      <c r="P11" s="3578"/>
      <c r="Q11" s="1132" t="str">
        <f t="shared" si="6"/>
        <v>容积率</v>
      </c>
      <c r="R11" s="1501" t="s">
        <v>8</v>
      </c>
      <c r="S11" s="1502" t="e">
        <f t="shared" si="0"/>
        <v>#N/A</v>
      </c>
      <c r="T11" s="1501" t="s">
        <v>8</v>
      </c>
      <c r="U11" s="1502" t="e">
        <f t="shared" si="1"/>
        <v>#N/A</v>
      </c>
      <c r="V11" s="1501" t="s">
        <v>8</v>
      </c>
      <c r="W11" s="1502" t="e">
        <f t="shared" si="2"/>
        <v>#N/A</v>
      </c>
      <c r="X11" s="1503"/>
      <c r="Y11" s="3524"/>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31"/>
      <c r="F12" s="251">
        <f>SUMIF(64:64,E12,65:65)-SUMIF(64:64,C12,65:65)+100</f>
        <v>100</v>
      </c>
      <c r="G12" s="907"/>
      <c r="H12" s="251">
        <f>SUMIF(64:64,G12,65:65)-SUMIF(64:64,C12,65:65)+100</f>
        <v>100</v>
      </c>
      <c r="I12" s="867"/>
      <c r="J12" s="251">
        <f>SUMIF(64:64,I12,65:65)-SUMIF(64:64,C12,65:65)+100</f>
        <v>100</v>
      </c>
      <c r="K12" s="573"/>
      <c r="L12" s="2015"/>
      <c r="M12" s="2016"/>
      <c r="N12" s="2016"/>
      <c r="O12" s="2017"/>
      <c r="P12" s="3578"/>
      <c r="Q12" s="1132">
        <f t="shared" si="6"/>
        <v>111</v>
      </c>
      <c r="R12" s="1501" t="s">
        <v>8</v>
      </c>
      <c r="S12" s="1502">
        <f t="shared" si="0"/>
        <v>100</v>
      </c>
      <c r="T12" s="1501" t="s">
        <v>8</v>
      </c>
      <c r="U12" s="1502">
        <f t="shared" si="1"/>
        <v>100</v>
      </c>
      <c r="V12" s="1501" t="s">
        <v>8</v>
      </c>
      <c r="W12" s="1502">
        <f t="shared" si="2"/>
        <v>100</v>
      </c>
      <c r="X12" s="1503"/>
      <c r="Y12" s="3524"/>
      <c r="Z12" s="1131">
        <f t="shared" si="7"/>
        <v>111</v>
      </c>
      <c r="AA12" s="1504">
        <f>D12/F12</f>
        <v>1</v>
      </c>
      <c r="AB12" s="1504">
        <f>D12/H12</f>
        <v>1</v>
      </c>
      <c r="AC12" s="1504">
        <f>D12/J12</f>
        <v>1</v>
      </c>
    </row>
    <row r="13" spans="1:29" ht="15">
      <c r="A13" s="2632"/>
      <c r="B13" s="2638">
        <v>111</v>
      </c>
      <c r="C13" s="531"/>
      <c r="D13" s="532">
        <v>100</v>
      </c>
      <c r="E13" s="531"/>
      <c r="F13" s="251">
        <f>SUMIF(66:66,E13,67:67)-SUMIF(66:66,C13,67:67)+100</f>
        <v>100</v>
      </c>
      <c r="G13" s="907"/>
      <c r="H13" s="532">
        <f>SUMIF(66:66,G13,67:67)-SUMIF(66:66,C13,67:67)+100</f>
        <v>100</v>
      </c>
      <c r="I13" s="867"/>
      <c r="J13" s="532">
        <f>SUMIF(66:66,I13,67:67)-SUMIF(66:66,C13,67:67)+100</f>
        <v>100</v>
      </c>
      <c r="K13" s="573"/>
      <c r="L13" s="2022"/>
      <c r="M13" s="2014"/>
      <c r="N13" s="2014"/>
      <c r="O13" s="2021"/>
      <c r="P13" s="3578"/>
      <c r="Q13" s="1132">
        <f t="shared" si="6"/>
        <v>111</v>
      </c>
      <c r="R13" s="1501" t="s">
        <v>8</v>
      </c>
      <c r="S13" s="1502">
        <f t="shared" si="0"/>
        <v>100</v>
      </c>
      <c r="T13" s="1501" t="s">
        <v>8</v>
      </c>
      <c r="U13" s="1502">
        <f t="shared" si="1"/>
        <v>100</v>
      </c>
      <c r="V13" s="1501" t="s">
        <v>8</v>
      </c>
      <c r="W13" s="1502">
        <f t="shared" si="2"/>
        <v>100</v>
      </c>
      <c r="X13" s="1503"/>
      <c r="Y13" s="3524"/>
      <c r="Z13" s="1131">
        <f t="shared" si="7"/>
        <v>111</v>
      </c>
      <c r="AA13" s="1504">
        <f t="shared" si="3"/>
        <v>1</v>
      </c>
      <c r="AB13" s="1504">
        <f t="shared" si="4"/>
        <v>1</v>
      </c>
      <c r="AC13" s="1504">
        <f t="shared" si="5"/>
        <v>1</v>
      </c>
    </row>
    <row r="14" spans="1:29" ht="15.75" thickBot="1">
      <c r="A14" s="2633"/>
      <c r="B14" s="2639">
        <v>111</v>
      </c>
      <c r="C14" s="537"/>
      <c r="D14" s="538">
        <v>100</v>
      </c>
      <c r="E14" s="537"/>
      <c r="F14" s="538">
        <f>SUMIF(68:68,E14,69:69)-SUMIF(68:68,C14,69:69)+100</f>
        <v>100</v>
      </c>
      <c r="G14" s="907"/>
      <c r="H14" s="538">
        <f>SUMIF(68:68,G14,69:69)-SUMIF(68:68,C14,69:69)+100</f>
        <v>100</v>
      </c>
      <c r="I14" s="867"/>
      <c r="J14" s="538">
        <f>SUMIF(68:68,I14,69:69)-SUMIF(68:68,C14,69:69)+100</f>
        <v>100</v>
      </c>
      <c r="K14" s="573"/>
      <c r="L14" s="2022"/>
      <c r="M14" s="2014"/>
      <c r="N14" s="2014"/>
      <c r="O14" s="2021"/>
      <c r="P14" s="3578"/>
      <c r="Q14" s="1132">
        <f t="shared" si="6"/>
        <v>111</v>
      </c>
      <c r="R14" s="1501" t="s">
        <v>8</v>
      </c>
      <c r="S14" s="1502">
        <f t="shared" si="0"/>
        <v>100</v>
      </c>
      <c r="T14" s="1501" t="s">
        <v>8</v>
      </c>
      <c r="U14" s="1502">
        <f t="shared" si="1"/>
        <v>100</v>
      </c>
      <c r="V14" s="1501" t="s">
        <v>8</v>
      </c>
      <c r="W14" s="1502">
        <f t="shared" si="2"/>
        <v>100</v>
      </c>
      <c r="X14" s="1503"/>
      <c r="Y14" s="3524"/>
      <c r="Z14" s="1131">
        <f t="shared" si="7"/>
        <v>111</v>
      </c>
      <c r="AA14" s="1504">
        <f t="shared" si="3"/>
        <v>1</v>
      </c>
      <c r="AB14" s="1504">
        <f t="shared" si="4"/>
        <v>1</v>
      </c>
      <c r="AC14" s="1504">
        <f t="shared" si="5"/>
        <v>1</v>
      </c>
    </row>
    <row r="15" spans="1:29" ht="57">
      <c r="A15" s="2625"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2"/>
      <c r="M15" s="2014"/>
      <c r="N15" s="2014"/>
      <c r="O15" s="2021"/>
      <c r="P15" s="3612" t="s">
        <v>532</v>
      </c>
      <c r="Q15" s="1505" t="str">
        <f t="shared" si="6"/>
        <v>产业集聚程度</v>
      </c>
      <c r="R15" s="1506" t="s">
        <v>8</v>
      </c>
      <c r="S15" s="1507">
        <f t="shared" si="0"/>
        <v>100</v>
      </c>
      <c r="T15" s="1506" t="s">
        <v>8</v>
      </c>
      <c r="U15" s="1507">
        <f t="shared" si="1"/>
        <v>100</v>
      </c>
      <c r="V15" s="1506" t="s">
        <v>8</v>
      </c>
      <c r="W15" s="1507">
        <f t="shared" si="2"/>
        <v>100</v>
      </c>
      <c r="X15" s="1500"/>
      <c r="Y15" s="3612" t="s">
        <v>532</v>
      </c>
      <c r="Z15" s="1508" t="str">
        <f t="shared" si="7"/>
        <v>产业集聚程度</v>
      </c>
      <c r="AA15" s="1509">
        <f t="shared" si="3"/>
        <v>1</v>
      </c>
      <c r="AB15" s="1509">
        <f t="shared" si="4"/>
        <v>1</v>
      </c>
      <c r="AC15" s="1509">
        <f t="shared" si="5"/>
        <v>1</v>
      </c>
    </row>
    <row r="16" spans="1:29" ht="15">
      <c r="A16" s="524"/>
      <c r="B16" s="856"/>
      <c r="C16" s="568"/>
      <c r="D16" s="547"/>
      <c r="E16" s="568"/>
      <c r="F16" s="549"/>
      <c r="G16" s="568"/>
      <c r="H16" s="551"/>
      <c r="I16" s="568"/>
      <c r="J16" s="547"/>
      <c r="K16" s="886"/>
      <c r="L16" s="2022"/>
      <c r="M16" s="2014"/>
      <c r="N16" s="2014"/>
      <c r="O16" s="2021"/>
      <c r="P16" s="3613"/>
      <c r="Q16" s="1505"/>
      <c r="R16" s="1506"/>
      <c r="S16" s="1507"/>
      <c r="T16" s="1506"/>
      <c r="U16" s="1507"/>
      <c r="V16" s="1506"/>
      <c r="W16" s="1507"/>
      <c r="X16" s="1500"/>
      <c r="Y16" s="3613"/>
      <c r="Z16" s="1508"/>
      <c r="AA16" s="1509">
        <v>1</v>
      </c>
      <c r="AB16" s="1509">
        <v>1</v>
      </c>
      <c r="AC16" s="1509">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2"/>
      <c r="M17" s="2014"/>
      <c r="N17" s="2014"/>
      <c r="O17" s="2021"/>
      <c r="P17" s="3613"/>
      <c r="Q17" s="1505" t="str">
        <f>B17</f>
        <v>交通便捷度</v>
      </c>
      <c r="R17" s="1506" t="s">
        <v>8</v>
      </c>
      <c r="S17" s="1507">
        <f>F17</f>
        <v>100</v>
      </c>
      <c r="T17" s="1506" t="s">
        <v>8</v>
      </c>
      <c r="U17" s="1507">
        <f>H17</f>
        <v>100</v>
      </c>
      <c r="V17" s="1506" t="s">
        <v>8</v>
      </c>
      <c r="W17" s="1507">
        <f>J17</f>
        <v>100</v>
      </c>
      <c r="X17" s="1500"/>
      <c r="Y17" s="3613"/>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86"/>
      <c r="L18" s="2022"/>
      <c r="M18" s="2014"/>
      <c r="N18" s="2014"/>
      <c r="O18" s="2021"/>
      <c r="P18" s="3613"/>
      <c r="Q18" s="1505"/>
      <c r="R18" s="1506"/>
      <c r="S18" s="1507"/>
      <c r="T18" s="1506"/>
      <c r="U18" s="1507"/>
      <c r="V18" s="1506"/>
      <c r="W18" s="1507"/>
      <c r="X18" s="1500"/>
      <c r="Y18" s="3613"/>
      <c r="Z18" s="1508"/>
      <c r="AA18" s="1509">
        <v>1</v>
      </c>
      <c r="AB18" s="1509">
        <v>1</v>
      </c>
      <c r="AC18" s="1509">
        <v>1</v>
      </c>
    </row>
    <row r="19" spans="1:29" ht="42.75">
      <c r="A19" s="524"/>
      <c r="B19" s="2445"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2"/>
      <c r="M19" s="2014"/>
      <c r="N19" s="2014"/>
      <c r="O19" s="2021"/>
      <c r="P19" s="3613"/>
      <c r="Q19" s="1505" t="str">
        <f>B19</f>
        <v>公共配套设施</v>
      </c>
      <c r="R19" s="1506" t="s">
        <v>8</v>
      </c>
      <c r="S19" s="1507">
        <f>F19</f>
        <v>100</v>
      </c>
      <c r="T19" s="1506" t="s">
        <v>8</v>
      </c>
      <c r="U19" s="1507">
        <f>H19</f>
        <v>100</v>
      </c>
      <c r="V19" s="1506" t="s">
        <v>8</v>
      </c>
      <c r="W19" s="1507">
        <f>J19</f>
        <v>100</v>
      </c>
      <c r="X19" s="1500"/>
      <c r="Y19" s="3613"/>
      <c r="Z19" s="1508" t="str">
        <f>Q19</f>
        <v>公共配套设施</v>
      </c>
      <c r="AA19" s="1509">
        <f t="shared" si="3"/>
        <v>1</v>
      </c>
      <c r="AB19" s="1509">
        <f t="shared" si="4"/>
        <v>1</v>
      </c>
      <c r="AC19" s="1509">
        <f t="shared" si="5"/>
        <v>1</v>
      </c>
    </row>
    <row r="20" spans="1:29" ht="15">
      <c r="A20" s="524"/>
      <c r="B20" s="558"/>
      <c r="C20" s="568"/>
      <c r="D20" s="547"/>
      <c r="E20" s="548"/>
      <c r="F20" s="549"/>
      <c r="G20" s="550"/>
      <c r="H20" s="547"/>
      <c r="I20" s="548"/>
      <c r="J20" s="547"/>
      <c r="K20" s="886"/>
      <c r="L20" s="2022"/>
      <c r="M20" s="2014"/>
      <c r="N20" s="2014"/>
      <c r="O20" s="2021"/>
      <c r="P20" s="3613"/>
      <c r="Q20" s="1505"/>
      <c r="R20" s="1506"/>
      <c r="S20" s="1507"/>
      <c r="T20" s="1506"/>
      <c r="U20" s="1507"/>
      <c r="V20" s="1506"/>
      <c r="W20" s="1507"/>
      <c r="X20" s="1500"/>
      <c r="Y20" s="3613"/>
      <c r="Z20" s="1508"/>
      <c r="AA20" s="1509">
        <v>1</v>
      </c>
      <c r="AB20" s="1509">
        <v>1</v>
      </c>
      <c r="AC20" s="1509">
        <v>1</v>
      </c>
    </row>
    <row r="21" spans="1:29" ht="28.5">
      <c r="A21" s="524"/>
      <c r="B21" s="2433"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2"/>
      <c r="M21" s="2014"/>
      <c r="N21" s="2014"/>
      <c r="O21" s="2021"/>
      <c r="P21" s="3613"/>
      <c r="Q21" s="2427" t="str">
        <f>B21</f>
        <v>基础设施水平</v>
      </c>
      <c r="R21" s="1506" t="s">
        <v>8</v>
      </c>
      <c r="S21" s="1507">
        <f>F21</f>
        <v>100</v>
      </c>
      <c r="T21" s="1506" t="s">
        <v>8</v>
      </c>
      <c r="U21" s="1507">
        <f>H21</f>
        <v>100</v>
      </c>
      <c r="V21" s="1506" t="s">
        <v>8</v>
      </c>
      <c r="W21" s="1507">
        <f>J21</f>
        <v>100</v>
      </c>
      <c r="X21" s="2429"/>
      <c r="Y21" s="3613"/>
      <c r="Z21" s="2428" t="str">
        <f>Q21</f>
        <v>基础设施水平</v>
      </c>
      <c r="AA21" s="1509">
        <f t="shared" ref="AA21" si="8">D21/F21</f>
        <v>1</v>
      </c>
      <c r="AB21" s="1509">
        <f t="shared" ref="AB21" si="9">D21/H21</f>
        <v>1</v>
      </c>
      <c r="AC21" s="1509">
        <f t="shared" ref="AC21" si="10">D21/J21</f>
        <v>1</v>
      </c>
    </row>
    <row r="22" spans="1:29" ht="15">
      <c r="A22" s="524"/>
      <c r="B22" s="570"/>
      <c r="C22" s="860"/>
      <c r="D22" s="547"/>
      <c r="E22" s="568"/>
      <c r="F22" s="549"/>
      <c r="G22" s="568"/>
      <c r="H22" s="547"/>
      <c r="I22" s="568"/>
      <c r="J22" s="547"/>
      <c r="K22" s="2444"/>
      <c r="L22" s="2022"/>
      <c r="M22" s="2014"/>
      <c r="N22" s="2014"/>
      <c r="O22" s="2021"/>
      <c r="P22" s="3613"/>
      <c r="Q22" s="2427"/>
      <c r="R22" s="1506"/>
      <c r="S22" s="1507"/>
      <c r="T22" s="1506"/>
      <c r="U22" s="1507"/>
      <c r="V22" s="1506"/>
      <c r="W22" s="1507"/>
      <c r="X22" s="2429"/>
      <c r="Y22" s="3613"/>
      <c r="Z22" s="2428"/>
      <c r="AA22" s="1509">
        <v>1</v>
      </c>
      <c r="AB22" s="1509">
        <v>1</v>
      </c>
      <c r="AC22" s="1509">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2"/>
      <c r="M23" s="2014"/>
      <c r="N23" s="2014"/>
      <c r="O23" s="2021"/>
      <c r="P23" s="3613"/>
      <c r="Q23" s="1505" t="str">
        <f>B23</f>
        <v>环境质量</v>
      </c>
      <c r="R23" s="1506" t="s">
        <v>8</v>
      </c>
      <c r="S23" s="1507">
        <f>F23</f>
        <v>100</v>
      </c>
      <c r="T23" s="1506" t="s">
        <v>8</v>
      </c>
      <c r="U23" s="1507">
        <f>H23</f>
        <v>100</v>
      </c>
      <c r="V23" s="1506" t="s">
        <v>8</v>
      </c>
      <c r="W23" s="1507">
        <f>J23</f>
        <v>100</v>
      </c>
      <c r="X23" s="1500"/>
      <c r="Y23" s="3613"/>
      <c r="Z23" s="1508" t="str">
        <f>Q23</f>
        <v>环境质量</v>
      </c>
      <c r="AA23" s="1509">
        <f t="shared" si="3"/>
        <v>1</v>
      </c>
      <c r="AB23" s="1509">
        <f t="shared" si="4"/>
        <v>1</v>
      </c>
      <c r="AC23" s="1509">
        <f t="shared" si="5"/>
        <v>1</v>
      </c>
    </row>
    <row r="24" spans="1:29" ht="15">
      <c r="A24" s="524"/>
      <c r="B24" s="909"/>
      <c r="C24" s="568"/>
      <c r="D24" s="547"/>
      <c r="E24" s="548"/>
      <c r="F24" s="549"/>
      <c r="G24" s="550"/>
      <c r="H24" s="547"/>
      <c r="I24" s="548"/>
      <c r="J24" s="547"/>
      <c r="K24" s="886"/>
      <c r="L24" s="2022"/>
      <c r="M24" s="2014"/>
      <c r="N24" s="2014"/>
      <c r="O24" s="2021"/>
      <c r="P24" s="3613"/>
      <c r="Q24" s="1505"/>
      <c r="R24" s="1506"/>
      <c r="S24" s="1507"/>
      <c r="T24" s="1506"/>
      <c r="U24" s="1507"/>
      <c r="V24" s="1506"/>
      <c r="W24" s="1507"/>
      <c r="X24" s="1500"/>
      <c r="Y24" s="3613"/>
      <c r="Z24" s="1508"/>
      <c r="AA24" s="1509">
        <v>1</v>
      </c>
      <c r="AB24" s="1509">
        <v>1</v>
      </c>
      <c r="AC24" s="1509">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2"/>
      <c r="M25" s="2014"/>
      <c r="N25" s="2014"/>
      <c r="O25" s="2021"/>
      <c r="P25" s="3613"/>
      <c r="Q25" s="1505">
        <f>B25</f>
        <v>111</v>
      </c>
      <c r="R25" s="1506" t="s">
        <v>8</v>
      </c>
      <c r="S25" s="1507">
        <f>F25</f>
        <v>100</v>
      </c>
      <c r="T25" s="1506" t="s">
        <v>8</v>
      </c>
      <c r="U25" s="1507">
        <f>H25</f>
        <v>100</v>
      </c>
      <c r="V25" s="1506" t="s">
        <v>8</v>
      </c>
      <c r="W25" s="1507">
        <f>J25</f>
        <v>100</v>
      </c>
      <c r="X25" s="1500"/>
      <c r="Y25" s="3613"/>
      <c r="Z25" s="1508">
        <f>Q25</f>
        <v>111</v>
      </c>
      <c r="AA25" s="1509">
        <f t="shared" si="3"/>
        <v>1</v>
      </c>
      <c r="AB25" s="1509">
        <f t="shared" si="4"/>
        <v>1</v>
      </c>
      <c r="AC25" s="1509">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2"/>
      <c r="M26" s="2014"/>
      <c r="N26" s="2014"/>
      <c r="O26" s="2021"/>
      <c r="P26" s="3613"/>
      <c r="Q26" s="1505">
        <f t="shared" ref="Q26:Q40" si="11">B26</f>
        <v>111</v>
      </c>
      <c r="R26" s="1506" t="s">
        <v>8</v>
      </c>
      <c r="S26" s="1507">
        <f>F26</f>
        <v>100</v>
      </c>
      <c r="T26" s="1506" t="s">
        <v>8</v>
      </c>
      <c r="U26" s="1507">
        <f>H26</f>
        <v>100</v>
      </c>
      <c r="V26" s="1506" t="s">
        <v>8</v>
      </c>
      <c r="W26" s="1507">
        <f>J26</f>
        <v>100</v>
      </c>
      <c r="X26" s="1500"/>
      <c r="Y26" s="3613"/>
      <c r="Z26" s="1508">
        <f>Q26</f>
        <v>111</v>
      </c>
      <c r="AA26" s="1509">
        <f t="shared" si="3"/>
        <v>1</v>
      </c>
      <c r="AB26" s="1509">
        <f t="shared" si="4"/>
        <v>1</v>
      </c>
      <c r="AC26" s="1509">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5"/>
      <c r="M27" s="2016"/>
      <c r="N27" s="2016"/>
      <c r="O27" s="2017"/>
      <c r="P27" s="3613"/>
      <c r="Q27" s="1132">
        <f t="shared" si="11"/>
        <v>111</v>
      </c>
      <c r="R27" s="1501" t="s">
        <v>8</v>
      </c>
      <c r="S27" s="1502">
        <f>F27</f>
        <v>100</v>
      </c>
      <c r="T27" s="1501" t="s">
        <v>8</v>
      </c>
      <c r="U27" s="1502">
        <f>H27</f>
        <v>100</v>
      </c>
      <c r="V27" s="1501" t="s">
        <v>8</v>
      </c>
      <c r="W27" s="1502">
        <f>J27</f>
        <v>100</v>
      </c>
      <c r="X27" s="1503"/>
      <c r="Y27" s="3613"/>
      <c r="Z27" s="1131">
        <f>Q27</f>
        <v>111</v>
      </c>
      <c r="AA27" s="1509">
        <f>D27/F27</f>
        <v>1</v>
      </c>
      <c r="AB27" s="1509">
        <f>D27/H27</f>
        <v>1</v>
      </c>
      <c r="AC27" s="1509">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2"/>
      <c r="M28" s="2014"/>
      <c r="N28" s="2014"/>
      <c r="O28" s="2021"/>
      <c r="P28" s="3613"/>
      <c r="Q28" s="1505">
        <f t="shared" si="11"/>
        <v>111</v>
      </c>
      <c r="R28" s="1506" t="s">
        <v>8</v>
      </c>
      <c r="S28" s="1507">
        <f t="shared" ref="S28:S40" si="12">F28</f>
        <v>100</v>
      </c>
      <c r="T28" s="1506" t="s">
        <v>8</v>
      </c>
      <c r="U28" s="1507">
        <f t="shared" ref="U28:U40" si="13">H28</f>
        <v>100</v>
      </c>
      <c r="V28" s="1506" t="s">
        <v>8</v>
      </c>
      <c r="W28" s="1507">
        <f t="shared" ref="W28:W40" si="14">J28</f>
        <v>100</v>
      </c>
      <c r="X28" s="1500"/>
      <c r="Y28" s="3613"/>
      <c r="Z28" s="1508">
        <f t="shared" ref="Z28:Z40" si="15">Q28</f>
        <v>111</v>
      </c>
      <c r="AA28" s="1509">
        <f t="shared" si="3"/>
        <v>1</v>
      </c>
      <c r="AB28" s="1509">
        <f t="shared" si="4"/>
        <v>1</v>
      </c>
      <c r="AC28" s="1509">
        <f t="shared" si="5"/>
        <v>1</v>
      </c>
    </row>
    <row r="29" spans="1:29" ht="15">
      <c r="A29" s="2622"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2"/>
      <c r="M29" s="2014"/>
      <c r="N29" s="2014"/>
      <c r="O29" s="2021"/>
      <c r="P29" s="3614" t="s">
        <v>542</v>
      </c>
      <c r="Q29" s="1505" t="str">
        <f t="shared" si="11"/>
        <v>建筑类型</v>
      </c>
      <c r="R29" s="1506" t="s">
        <v>8</v>
      </c>
      <c r="S29" s="1507">
        <f t="shared" si="12"/>
        <v>100</v>
      </c>
      <c r="T29" s="1506" t="s">
        <v>8</v>
      </c>
      <c r="U29" s="1507">
        <f t="shared" si="13"/>
        <v>100</v>
      </c>
      <c r="V29" s="1506" t="s">
        <v>8</v>
      </c>
      <c r="W29" s="1507">
        <f t="shared" si="14"/>
        <v>100</v>
      </c>
      <c r="X29" s="1500"/>
      <c r="Y29" s="3615" t="s">
        <v>542</v>
      </c>
      <c r="Z29" s="1508" t="str">
        <f t="shared" si="15"/>
        <v>建筑类型</v>
      </c>
      <c r="AA29" s="1509">
        <f t="shared" si="3"/>
        <v>1</v>
      </c>
      <c r="AB29" s="1509">
        <f t="shared" si="4"/>
        <v>1</v>
      </c>
      <c r="AC29" s="1509">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20"/>
      <c r="M30" s="2050"/>
      <c r="N30" s="2050"/>
      <c r="O30" s="2023"/>
      <c r="P30" s="3615"/>
      <c r="Q30" s="1534" t="str">
        <f t="shared" si="11"/>
        <v>项目建筑规模</v>
      </c>
      <c r="R30" s="1510" t="s">
        <v>8</v>
      </c>
      <c r="S30" s="1511" t="e">
        <f t="shared" si="12"/>
        <v>#N/A</v>
      </c>
      <c r="T30" s="1510" t="s">
        <v>8</v>
      </c>
      <c r="U30" s="1511" t="e">
        <f t="shared" si="13"/>
        <v>#N/A</v>
      </c>
      <c r="V30" s="1510" t="s">
        <v>8</v>
      </c>
      <c r="W30" s="1511" t="e">
        <f t="shared" si="14"/>
        <v>#N/A</v>
      </c>
      <c r="X30" s="1512"/>
      <c r="Y30" s="3615"/>
      <c r="Z30" s="1513" t="str">
        <f t="shared" si="15"/>
        <v>项目建筑规模</v>
      </c>
      <c r="AA30" s="1509" t="e">
        <f t="shared" si="3"/>
        <v>#N/A</v>
      </c>
      <c r="AB30" s="1509" t="e">
        <f t="shared" si="4"/>
        <v>#N/A</v>
      </c>
      <c r="AC30" s="1509"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2"/>
      <c r="M31" s="2014"/>
      <c r="N31" s="2014"/>
      <c r="O31" s="2021"/>
      <c r="P31" s="3615"/>
      <c r="Q31" s="1505" t="str">
        <f t="shared" si="11"/>
        <v>建筑结构</v>
      </c>
      <c r="R31" s="1506" t="s">
        <v>8</v>
      </c>
      <c r="S31" s="1507">
        <f t="shared" si="12"/>
        <v>100</v>
      </c>
      <c r="T31" s="1506" t="s">
        <v>8</v>
      </c>
      <c r="U31" s="1507">
        <f t="shared" si="13"/>
        <v>100</v>
      </c>
      <c r="V31" s="1506" t="s">
        <v>8</v>
      </c>
      <c r="W31" s="1507">
        <f t="shared" si="14"/>
        <v>100</v>
      </c>
      <c r="X31" s="1500"/>
      <c r="Y31" s="3615"/>
      <c r="Z31" s="1508" t="str">
        <f t="shared" si="15"/>
        <v>建筑结构</v>
      </c>
      <c r="AA31" s="1509">
        <f t="shared" si="3"/>
        <v>1</v>
      </c>
      <c r="AB31" s="1509">
        <f t="shared" si="4"/>
        <v>1</v>
      </c>
      <c r="AC31" s="1509">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2"/>
      <c r="M32" s="2014"/>
      <c r="N32" s="2014"/>
      <c r="O32" s="2021"/>
      <c r="P32" s="3615"/>
      <c r="Q32" s="1505" t="str">
        <f t="shared" si="11"/>
        <v>公共部分装修</v>
      </c>
      <c r="R32" s="1506" t="s">
        <v>8</v>
      </c>
      <c r="S32" s="1507">
        <f t="shared" si="12"/>
        <v>100</v>
      </c>
      <c r="T32" s="1506" t="s">
        <v>8</v>
      </c>
      <c r="U32" s="1507">
        <f t="shared" si="13"/>
        <v>100</v>
      </c>
      <c r="V32" s="1506" t="s">
        <v>8</v>
      </c>
      <c r="W32" s="1507">
        <f t="shared" si="14"/>
        <v>100</v>
      </c>
      <c r="X32" s="1500"/>
      <c r="Y32" s="3615"/>
      <c r="Z32" s="1508" t="str">
        <f t="shared" si="15"/>
        <v>公共部分装修</v>
      </c>
      <c r="AA32" s="1509">
        <f t="shared" si="3"/>
        <v>1</v>
      </c>
      <c r="AB32" s="1509">
        <f t="shared" si="4"/>
        <v>1</v>
      </c>
      <c r="AC32" s="1509">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2"/>
      <c r="M33" s="2014"/>
      <c r="N33" s="2014"/>
      <c r="O33" s="2021"/>
      <c r="P33" s="3615"/>
      <c r="Q33" s="1505" t="str">
        <f t="shared" si="11"/>
        <v>成新度</v>
      </c>
      <c r="R33" s="1506" t="s">
        <v>8</v>
      </c>
      <c r="S33" s="1507" t="e">
        <f t="shared" si="12"/>
        <v>#N/A</v>
      </c>
      <c r="T33" s="1506" t="s">
        <v>8</v>
      </c>
      <c r="U33" s="1507" t="e">
        <f t="shared" si="13"/>
        <v>#N/A</v>
      </c>
      <c r="V33" s="1506" t="s">
        <v>8</v>
      </c>
      <c r="W33" s="1507" t="e">
        <f t="shared" si="14"/>
        <v>#N/A</v>
      </c>
      <c r="X33" s="1500"/>
      <c r="Y33" s="3615"/>
      <c r="Z33" s="1508" t="str">
        <f t="shared" si="15"/>
        <v>成新度</v>
      </c>
      <c r="AA33" s="1509" t="e">
        <f t="shared" si="3"/>
        <v>#N/A</v>
      </c>
      <c r="AB33" s="1509" t="e">
        <f t="shared" si="4"/>
        <v>#N/A</v>
      </c>
      <c r="AC33" s="1509"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5"/>
      <c r="M34" s="2016"/>
      <c r="N34" s="2016"/>
      <c r="O34" s="2017"/>
      <c r="P34" s="3615"/>
      <c r="Q34" s="1132" t="str">
        <f t="shared" si="11"/>
        <v>物业管理</v>
      </c>
      <c r="R34" s="1501" t="s">
        <v>8</v>
      </c>
      <c r="S34" s="1502">
        <f t="shared" si="12"/>
        <v>100</v>
      </c>
      <c r="T34" s="1501" t="s">
        <v>8</v>
      </c>
      <c r="U34" s="1502">
        <f t="shared" si="13"/>
        <v>100</v>
      </c>
      <c r="V34" s="1501" t="s">
        <v>8</v>
      </c>
      <c r="W34" s="1502">
        <f t="shared" si="14"/>
        <v>100</v>
      </c>
      <c r="X34" s="1503"/>
      <c r="Y34" s="3615"/>
      <c r="Z34" s="1131" t="str">
        <f t="shared" si="15"/>
        <v>物业管理</v>
      </c>
      <c r="AA34" s="1504">
        <f t="shared" si="3"/>
        <v>1</v>
      </c>
      <c r="AB34" s="1504">
        <f t="shared" si="4"/>
        <v>1</v>
      </c>
      <c r="AC34" s="1504">
        <f t="shared" si="5"/>
        <v>1</v>
      </c>
    </row>
    <row r="35" spans="1:29" ht="15">
      <c r="A35" s="586"/>
      <c r="B35" s="1807"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2"/>
      <c r="M35" s="2014"/>
      <c r="N35" s="2014"/>
      <c r="O35" s="2021"/>
      <c r="P35" s="3615" t="s">
        <v>542</v>
      </c>
      <c r="Q35" s="1505" t="str">
        <f t="shared" si="11"/>
        <v>市政基础设施</v>
      </c>
      <c r="R35" s="1506" t="s">
        <v>8</v>
      </c>
      <c r="S35" s="1507">
        <f t="shared" si="12"/>
        <v>100</v>
      </c>
      <c r="T35" s="1506" t="s">
        <v>8</v>
      </c>
      <c r="U35" s="1507">
        <f t="shared" si="13"/>
        <v>100</v>
      </c>
      <c r="V35" s="1506" t="s">
        <v>8</v>
      </c>
      <c r="W35" s="1507">
        <f t="shared" si="14"/>
        <v>100</v>
      </c>
      <c r="X35" s="1500"/>
      <c r="Y35" s="3615" t="s">
        <v>542</v>
      </c>
      <c r="Z35" s="1508" t="str">
        <f t="shared" si="15"/>
        <v>市政基础设施</v>
      </c>
      <c r="AA35" s="1509">
        <f t="shared" si="3"/>
        <v>1</v>
      </c>
      <c r="AB35" s="1509">
        <f t="shared" si="4"/>
        <v>1</v>
      </c>
      <c r="AC35" s="1509">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2"/>
      <c r="M36" s="2014"/>
      <c r="N36" s="2014"/>
      <c r="O36" s="2021"/>
      <c r="P36" s="3615"/>
      <c r="Q36" s="1505" t="str">
        <f t="shared" si="11"/>
        <v>内部装修</v>
      </c>
      <c r="R36" s="1506" t="s">
        <v>8</v>
      </c>
      <c r="S36" s="1507">
        <f t="shared" si="12"/>
        <v>100</v>
      </c>
      <c r="T36" s="1506" t="s">
        <v>8</v>
      </c>
      <c r="U36" s="1507">
        <f t="shared" si="13"/>
        <v>100</v>
      </c>
      <c r="V36" s="1506" t="s">
        <v>8</v>
      </c>
      <c r="W36" s="1507">
        <f t="shared" si="14"/>
        <v>100</v>
      </c>
      <c r="X36" s="1500"/>
      <c r="Y36" s="3615"/>
      <c r="Z36" s="1508" t="str">
        <f t="shared" si="15"/>
        <v>内部装修</v>
      </c>
      <c r="AA36" s="1509">
        <f t="shared" si="3"/>
        <v>1</v>
      </c>
      <c r="AB36" s="1509">
        <f t="shared" si="4"/>
        <v>1</v>
      </c>
      <c r="AC36" s="1509">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2"/>
      <c r="M37" s="2014"/>
      <c r="N37" s="2014"/>
      <c r="O37" s="2021"/>
      <c r="P37" s="3615"/>
      <c r="Q37" s="1505" t="str">
        <f t="shared" si="11"/>
        <v>内部装修状况</v>
      </c>
      <c r="R37" s="1506" t="s">
        <v>8</v>
      </c>
      <c r="S37" s="1507">
        <f t="shared" si="12"/>
        <v>100</v>
      </c>
      <c r="T37" s="1506" t="s">
        <v>8</v>
      </c>
      <c r="U37" s="1507">
        <f t="shared" si="13"/>
        <v>100</v>
      </c>
      <c r="V37" s="1506" t="s">
        <v>8</v>
      </c>
      <c r="W37" s="1507">
        <f t="shared" si="14"/>
        <v>100</v>
      </c>
      <c r="X37" s="1500"/>
      <c r="Y37" s="3615"/>
      <c r="Z37" s="1508" t="str">
        <f t="shared" si="15"/>
        <v>内部装修状况</v>
      </c>
      <c r="AA37" s="1509">
        <f t="shared" si="3"/>
        <v>1</v>
      </c>
      <c r="AB37" s="1509">
        <f t="shared" si="4"/>
        <v>1</v>
      </c>
      <c r="AC37" s="1509">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20"/>
      <c r="M38" s="2050"/>
      <c r="N38" s="2050"/>
      <c r="O38" s="2023"/>
      <c r="P38" s="3615"/>
      <c r="Q38" s="1534">
        <f t="shared" si="11"/>
        <v>111</v>
      </c>
      <c r="R38" s="1510" t="s">
        <v>8</v>
      </c>
      <c r="S38" s="1511">
        <f t="shared" si="12"/>
        <v>100</v>
      </c>
      <c r="T38" s="1510" t="s">
        <v>8</v>
      </c>
      <c r="U38" s="1511">
        <f t="shared" si="13"/>
        <v>100</v>
      </c>
      <c r="V38" s="1510" t="s">
        <v>8</v>
      </c>
      <c r="W38" s="1511">
        <f t="shared" si="14"/>
        <v>100</v>
      </c>
      <c r="X38" s="1512"/>
      <c r="Y38" s="3615"/>
      <c r="Z38" s="1513">
        <f t="shared" si="15"/>
        <v>111</v>
      </c>
      <c r="AA38" s="1509">
        <f t="shared" si="3"/>
        <v>1</v>
      </c>
      <c r="AB38" s="1509">
        <f t="shared" si="4"/>
        <v>1</v>
      </c>
      <c r="AC38" s="1509">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2"/>
      <c r="M39" s="2014"/>
      <c r="N39" s="2014"/>
      <c r="O39" s="2021"/>
      <c r="P39" s="3615"/>
      <c r="Q39" s="1505">
        <f t="shared" si="11"/>
        <v>111</v>
      </c>
      <c r="R39" s="1506" t="s">
        <v>8</v>
      </c>
      <c r="S39" s="1507">
        <f t="shared" si="12"/>
        <v>100</v>
      </c>
      <c r="T39" s="1506" t="s">
        <v>8</v>
      </c>
      <c r="U39" s="1507">
        <f t="shared" si="13"/>
        <v>100</v>
      </c>
      <c r="V39" s="1506" t="s">
        <v>8</v>
      </c>
      <c r="W39" s="1507">
        <f t="shared" si="14"/>
        <v>100</v>
      </c>
      <c r="X39" s="1500"/>
      <c r="Y39" s="3615"/>
      <c r="Z39" s="1508">
        <f t="shared" si="15"/>
        <v>111</v>
      </c>
      <c r="AA39" s="1509">
        <f t="shared" si="3"/>
        <v>1</v>
      </c>
      <c r="AB39" s="1509">
        <f t="shared" si="4"/>
        <v>1</v>
      </c>
      <c r="AC39" s="1509">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2"/>
      <c r="M40" s="2014"/>
      <c r="N40" s="2014"/>
      <c r="O40" s="2021"/>
      <c r="P40" s="3695"/>
      <c r="Q40" s="1505">
        <f t="shared" si="11"/>
        <v>111</v>
      </c>
      <c r="R40" s="1506" t="s">
        <v>8</v>
      </c>
      <c r="S40" s="1507">
        <f t="shared" si="12"/>
        <v>100</v>
      </c>
      <c r="T40" s="1506" t="s">
        <v>8</v>
      </c>
      <c r="U40" s="1507">
        <f t="shared" si="13"/>
        <v>100</v>
      </c>
      <c r="V40" s="1506" t="s">
        <v>8</v>
      </c>
      <c r="W40" s="1507">
        <f t="shared" si="14"/>
        <v>100</v>
      </c>
      <c r="X40" s="1500"/>
      <c r="Y40" s="3695"/>
      <c r="Z40" s="1508">
        <f t="shared" si="15"/>
        <v>111</v>
      </c>
      <c r="AA40" s="1509">
        <f t="shared" si="3"/>
        <v>1</v>
      </c>
      <c r="AB40" s="1509">
        <f t="shared" si="4"/>
        <v>1</v>
      </c>
      <c r="AC40" s="1509">
        <f t="shared" si="5"/>
        <v>1</v>
      </c>
    </row>
    <row r="41" spans="1:29" ht="15">
      <c r="A41" s="599" t="s">
        <v>728</v>
      </c>
      <c r="B41" s="874"/>
      <c r="C41" s="2468" t="s">
        <v>1</v>
      </c>
      <c r="D41" s="2469"/>
      <c r="E41" s="2470"/>
      <c r="F41" s="2471"/>
      <c r="G41" s="2472"/>
      <c r="H41" s="2473"/>
      <c r="I41" s="2470"/>
      <c r="J41" s="2473"/>
      <c r="K41" s="1539"/>
      <c r="L41" s="2024"/>
      <c r="M41" s="2025"/>
      <c r="N41" s="2014"/>
      <c r="O41" s="2025"/>
      <c r="P41" s="3578" t="str">
        <f>A41</f>
        <v>成交单价（元/平方米）</v>
      </c>
      <c r="Q41" s="3578"/>
      <c r="R41" s="3694">
        <f>E41</f>
        <v>0</v>
      </c>
      <c r="S41" s="3694"/>
      <c r="T41" s="3694">
        <f>G41</f>
        <v>0</v>
      </c>
      <c r="U41" s="3694"/>
      <c r="V41" s="3694">
        <f>I41</f>
        <v>0</v>
      </c>
      <c r="W41" s="3694"/>
      <c r="X41" s="1495"/>
      <c r="Y41" s="1514"/>
      <c r="Z41" s="1495"/>
      <c r="AA41" s="1495"/>
      <c r="AB41" s="1495"/>
      <c r="AC41" s="1495"/>
    </row>
    <row r="42" spans="1:29" ht="15.75" thickBot="1">
      <c r="A42" s="607" t="s">
        <v>2738</v>
      </c>
      <c r="B42" s="875"/>
      <c r="C42" s="2474" t="e">
        <f>R43</f>
        <v>#DIV/0!</v>
      </c>
      <c r="D42" s="3012" t="s">
        <v>2963</v>
      </c>
      <c r="E42" s="2475" t="e">
        <f>R42</f>
        <v>#DIV/0!</v>
      </c>
      <c r="F42" s="3013"/>
      <c r="G42" s="2474" t="e">
        <f>T42</f>
        <v>#DIV/0!</v>
      </c>
      <c r="H42" s="3013"/>
      <c r="I42" s="2475" t="e">
        <f>V42</f>
        <v>#DIV/0!</v>
      </c>
      <c r="J42" s="3013"/>
      <c r="K42" s="3021">
        <f>F42+H42+J42</f>
        <v>0</v>
      </c>
      <c r="L42" s="2024"/>
      <c r="M42" s="2025"/>
      <c r="N42" s="2014"/>
      <c r="O42" s="2025"/>
      <c r="P42" s="3578" t="str">
        <f>A42</f>
        <v>比较价格（元/平方米）</v>
      </c>
      <c r="Q42" s="3578"/>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1495"/>
      <c r="Y42" s="1495"/>
      <c r="Z42" s="1495"/>
      <c r="AA42" s="1495"/>
      <c r="AB42" s="1495"/>
      <c r="AC42" s="1495"/>
    </row>
    <row r="43" spans="1:29" ht="15.75" thickBot="1">
      <c r="A43" s="611" t="s">
        <v>2898</v>
      </c>
      <c r="B43" s="612"/>
      <c r="C43" s="2476" t="e">
        <f>R43</f>
        <v>#DIV/0!</v>
      </c>
      <c r="D43" s="2476"/>
      <c r="E43" s="2476"/>
      <c r="F43" s="2476"/>
      <c r="G43" s="2476"/>
      <c r="H43" s="2476"/>
      <c r="I43" s="2476"/>
      <c r="J43" s="2476"/>
      <c r="K43" s="1540"/>
      <c r="L43" s="2024"/>
      <c r="M43" s="2025"/>
      <c r="N43" s="2025"/>
      <c r="O43" s="2025"/>
      <c r="P43" s="3575" t="str">
        <f>A43</f>
        <v>估价对象XX用房的比较价格（楼面单价，元/平方米）</v>
      </c>
      <c r="Q43" s="3576"/>
      <c r="R43" s="3693" t="e">
        <f>IF(F1="售价",ROUND(IF(D42="简单平均",AVERAGE(R42:V42),R42*F42+T42*H42+V42*J42),0),ROUND(IF(D42="简单平均",AVERAGE(R42:V42),R42*F42+T42*H42+V42*J42),1))</f>
        <v>#DIV/0!</v>
      </c>
      <c r="S43" s="3693"/>
      <c r="T43" s="3693"/>
      <c r="U43" s="3693"/>
      <c r="V43" s="3693"/>
      <c r="W43" s="3693"/>
      <c r="X43" s="1495"/>
      <c r="Y43" s="1495"/>
      <c r="Z43" s="1495"/>
      <c r="AA43" s="1495"/>
      <c r="AB43" s="1495"/>
      <c r="AC43" s="1495"/>
    </row>
    <row r="44" spans="1:29">
      <c r="A44" s="3210"/>
      <c r="B44" s="3210"/>
      <c r="C44" s="3210"/>
      <c r="D44" s="3210"/>
      <c r="E44" s="3210"/>
      <c r="F44" s="3210"/>
      <c r="G44" s="3212"/>
      <c r="H44" s="3210"/>
      <c r="I44" s="3210"/>
      <c r="J44" s="3210"/>
      <c r="K44" s="3213"/>
      <c r="L44" s="2029"/>
      <c r="M44" s="2025"/>
      <c r="N44" s="2025"/>
      <c r="O44" s="2025"/>
      <c r="P44" s="2025"/>
      <c r="Q44" s="2025"/>
      <c r="R44" s="2025"/>
      <c r="S44" s="2025"/>
      <c r="T44" s="2025"/>
      <c r="U44" s="2025"/>
      <c r="V44" s="2025"/>
      <c r="W44" s="2025"/>
      <c r="X44" s="2025"/>
      <c r="Y44" s="2025"/>
      <c r="Z44" s="2025"/>
      <c r="AA44" s="2025"/>
      <c r="AB44" s="2025"/>
      <c r="AC44" s="2025"/>
    </row>
    <row r="45" spans="1:29">
      <c r="A45" s="3210"/>
      <c r="B45" s="3210"/>
      <c r="C45" s="3210"/>
      <c r="D45" s="3210"/>
      <c r="E45" s="3210"/>
      <c r="F45" s="3210"/>
      <c r="G45" s="3210"/>
      <c r="H45" s="3210"/>
      <c r="I45" s="3210"/>
      <c r="J45" s="3210"/>
      <c r="K45" s="3213"/>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0"/>
      <c r="B46" s="3210"/>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13"/>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0"/>
      <c r="B47" s="3210"/>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13"/>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1"/>
      <c r="B48" s="3211"/>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4"/>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566</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5" t="s">
        <v>521</v>
      </c>
      <c r="B52" s="636"/>
      <c r="C52" s="2517" t="str">
        <f>YEAR(C7)&amp;"-"&amp;MONTH(C7)</f>
        <v>2021-8</v>
      </c>
      <c r="D52" s="2519">
        <f>EDATE(C52,-1)</f>
        <v>44378</v>
      </c>
      <c r="E52" s="2519">
        <f t="shared" ref="E52:O52" si="16">EDATE(D52,-1)</f>
        <v>44348</v>
      </c>
      <c r="F52" s="2519">
        <f t="shared" si="16"/>
        <v>44317</v>
      </c>
      <c r="G52" s="2519">
        <f t="shared" si="16"/>
        <v>44287</v>
      </c>
      <c r="H52" s="2519">
        <f t="shared" si="16"/>
        <v>44256</v>
      </c>
      <c r="I52" s="2519">
        <f t="shared" si="16"/>
        <v>44228</v>
      </c>
      <c r="J52" s="2519">
        <f t="shared" si="16"/>
        <v>44197</v>
      </c>
      <c r="K52" s="2519">
        <f t="shared" si="16"/>
        <v>44166</v>
      </c>
      <c r="L52" s="2519">
        <f t="shared" si="16"/>
        <v>44136</v>
      </c>
      <c r="M52" s="2519">
        <f t="shared" si="16"/>
        <v>44105</v>
      </c>
      <c r="N52" s="2519">
        <f t="shared" si="16"/>
        <v>44075</v>
      </c>
      <c r="O52" s="2519">
        <f t="shared" si="16"/>
        <v>44044</v>
      </c>
      <c r="P52" s="2039"/>
      <c r="Q52" s="2040"/>
      <c r="R52" s="2040"/>
      <c r="S52" s="2040"/>
      <c r="T52" s="2040"/>
      <c r="U52" s="2040"/>
      <c r="V52" s="2040"/>
      <c r="W52" s="2040"/>
      <c r="X52" s="2040"/>
      <c r="Y52" s="2040"/>
      <c r="Z52" s="2040"/>
      <c r="AA52" s="2040"/>
      <c r="AB52" s="2040"/>
      <c r="AC52" s="2040"/>
    </row>
    <row r="53" spans="1:29" s="1201" customFormat="1" ht="15">
      <c r="A53" s="637"/>
      <c r="B53" s="638"/>
      <c r="C53" s="639">
        <v>100</v>
      </c>
      <c r="D53" s="640"/>
      <c r="E53" s="640"/>
      <c r="F53" s="640"/>
      <c r="G53" s="640"/>
      <c r="H53" s="640"/>
      <c r="I53" s="640"/>
      <c r="J53" s="640"/>
      <c r="K53" s="640"/>
      <c r="L53" s="640"/>
      <c r="M53" s="641"/>
      <c r="N53" s="640"/>
      <c r="O53" s="642"/>
      <c r="P53" s="2037"/>
      <c r="Q53" s="1903"/>
      <c r="R53" s="1903"/>
      <c r="S53" s="1903"/>
      <c r="T53" s="1903"/>
      <c r="U53" s="1903"/>
      <c r="V53" s="1903"/>
      <c r="W53" s="1903"/>
      <c r="X53" s="1903"/>
      <c r="Y53" s="1903"/>
      <c r="Z53" s="1903"/>
      <c r="AA53" s="1903"/>
      <c r="AB53" s="1903"/>
      <c r="AC53" s="1903"/>
    </row>
    <row r="54" spans="1:29" s="1201" customFormat="1" ht="15.75" thickBot="1">
      <c r="A54" s="643" t="s">
        <v>567</v>
      </c>
      <c r="B54" s="644"/>
      <c r="C54" s="645"/>
      <c r="D54" s="646"/>
      <c r="E54" s="646"/>
      <c r="F54" s="646"/>
      <c r="G54" s="646"/>
      <c r="H54" s="646"/>
      <c r="I54" s="646"/>
      <c r="J54" s="646"/>
      <c r="K54" s="646"/>
      <c r="L54" s="646"/>
      <c r="M54" s="647"/>
      <c r="N54" s="646"/>
      <c r="O54" s="648"/>
      <c r="P54" s="2037"/>
      <c r="Q54" s="2037"/>
      <c r="R54" s="1903"/>
      <c r="S54" s="1903"/>
      <c r="T54" s="1903"/>
      <c r="U54" s="1903"/>
      <c r="V54" s="1903"/>
      <c r="W54" s="1903"/>
      <c r="X54" s="1903"/>
      <c r="Y54" s="1903"/>
      <c r="Z54" s="1903"/>
      <c r="AA54" s="1903"/>
      <c r="AB54" s="1903"/>
      <c r="AC54" s="1903"/>
    </row>
    <row r="55" spans="1:29" s="1201" customFormat="1" ht="15">
      <c r="A55" s="649" t="s">
        <v>523</v>
      </c>
      <c r="B55" s="638"/>
      <c r="C55" s="650" t="s">
        <v>568</v>
      </c>
      <c r="D55" s="651"/>
      <c r="E55" s="651"/>
      <c r="F55" s="651"/>
      <c r="G55" s="651"/>
      <c r="H55" s="651"/>
      <c r="I55" s="651"/>
      <c r="J55" s="651"/>
      <c r="K55" s="651"/>
      <c r="L55" s="652"/>
      <c r="M55" s="653"/>
      <c r="N55" s="2041"/>
      <c r="O55" s="2041"/>
      <c r="P55" s="2042"/>
      <c r="Q55" s="2037"/>
      <c r="R55" s="1903"/>
      <c r="S55" s="1903"/>
      <c r="T55" s="1903"/>
      <c r="U55" s="1903"/>
      <c r="V55" s="1903"/>
      <c r="W55" s="1903"/>
      <c r="X55" s="1903"/>
      <c r="Y55" s="1903"/>
      <c r="Z55" s="1903"/>
      <c r="AA55" s="1903"/>
      <c r="AB55" s="1903"/>
      <c r="AC55" s="1903"/>
    </row>
    <row r="56" spans="1:29" s="1201" customFormat="1" ht="15.75" thickBot="1">
      <c r="A56" s="649"/>
      <c r="B56" s="638"/>
      <c r="C56" s="639">
        <v>100</v>
      </c>
      <c r="D56" s="640"/>
      <c r="E56" s="640"/>
      <c r="F56" s="640"/>
      <c r="G56" s="640"/>
      <c r="H56" s="640"/>
      <c r="I56" s="640"/>
      <c r="J56" s="640"/>
      <c r="K56" s="640"/>
      <c r="L56" s="640"/>
      <c r="M56" s="642"/>
      <c r="N56" s="2041"/>
      <c r="O56" s="2041"/>
      <c r="P56" s="2037"/>
      <c r="Q56" s="2037"/>
      <c r="R56" s="1903"/>
      <c r="S56" s="1903"/>
      <c r="T56" s="1903"/>
      <c r="U56" s="1903"/>
      <c r="V56" s="1903"/>
      <c r="W56" s="1903"/>
      <c r="X56" s="1903"/>
      <c r="Y56" s="1903"/>
      <c r="Z56" s="1903"/>
      <c r="AA56" s="1903"/>
      <c r="AB56" s="1903"/>
      <c r="AC56" s="1903"/>
    </row>
    <row r="57" spans="1:29">
      <c r="A57" s="654" t="s">
        <v>569</v>
      </c>
      <c r="B57" s="655" t="s">
        <v>526</v>
      </c>
      <c r="C57" s="694">
        <f>C9</f>
        <v>0</v>
      </c>
      <c r="D57" s="590"/>
      <c r="E57" s="590"/>
      <c r="F57" s="590"/>
      <c r="G57" s="590"/>
      <c r="H57" s="590"/>
      <c r="I57" s="590"/>
      <c r="J57" s="590"/>
      <c r="K57" s="656"/>
      <c r="L57" s="657"/>
      <c r="M57" s="658"/>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61"/>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3"/>
      <c r="O59" s="2043"/>
      <c r="P59" s="2044"/>
      <c r="Q59" s="2037"/>
      <c r="R59" s="2025"/>
      <c r="S59" s="2025"/>
      <c r="T59" s="2025"/>
      <c r="U59" s="2025"/>
      <c r="V59" s="2025"/>
      <c r="W59" s="2025"/>
      <c r="X59" s="2025"/>
      <c r="Y59" s="2025"/>
      <c r="Z59" s="2025"/>
      <c r="AA59" s="2025"/>
      <c r="AB59" s="2025"/>
      <c r="AC59" s="20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5"/>
      <c r="O60" s="2045"/>
      <c r="P60" s="2044"/>
      <c r="Q60" s="2037"/>
      <c r="R60" s="2025"/>
      <c r="S60" s="2025"/>
      <c r="T60" s="2025"/>
      <c r="U60" s="2025"/>
      <c r="V60" s="2025"/>
      <c r="W60" s="2025"/>
      <c r="X60" s="2025"/>
      <c r="Y60" s="2025"/>
      <c r="Z60" s="2025"/>
      <c r="AA60" s="2025"/>
      <c r="AB60" s="2025"/>
      <c r="AC60" s="2025"/>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59"/>
      <c r="B62" s="673"/>
      <c r="C62" s="533"/>
      <c r="D62" s="533"/>
      <c r="E62" s="533"/>
      <c r="F62" s="533"/>
      <c r="G62" s="533"/>
      <c r="H62" s="533"/>
      <c r="I62" s="533"/>
      <c r="J62" s="533"/>
      <c r="K62" s="674"/>
      <c r="L62" s="675"/>
      <c r="M62" s="676"/>
      <c r="N62" s="2043"/>
      <c r="O62" s="2043"/>
      <c r="P62" s="2044"/>
      <c r="Q62" s="2037"/>
      <c r="R62" s="2025"/>
      <c r="S62" s="2025"/>
      <c r="T62" s="2025"/>
      <c r="U62" s="2025"/>
      <c r="V62" s="2025"/>
      <c r="W62" s="2025"/>
      <c r="X62" s="2025"/>
      <c r="Y62" s="2025"/>
      <c r="Z62" s="2025"/>
      <c r="AA62" s="2025"/>
      <c r="AB62" s="2025"/>
      <c r="AC62" s="20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7"/>
      <c r="B64" s="663">
        <f>B12</f>
        <v>111</v>
      </c>
      <c r="C64" s="678"/>
      <c r="D64" s="678"/>
      <c r="E64" s="678"/>
      <c r="F64" s="678"/>
      <c r="G64" s="678"/>
      <c r="H64" s="679"/>
      <c r="I64" s="679"/>
      <c r="J64" s="679"/>
      <c r="K64" s="679"/>
      <c r="L64" s="680"/>
      <c r="M64" s="681"/>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7"/>
      <c r="B65" s="668"/>
      <c r="C65" s="682"/>
      <c r="D65" s="661"/>
      <c r="E65" s="661"/>
      <c r="F65" s="661"/>
      <c r="G65" s="661"/>
      <c r="H65" s="661"/>
      <c r="I65" s="661"/>
      <c r="J65" s="661"/>
      <c r="K65" s="661"/>
      <c r="L65" s="661"/>
      <c r="M65" s="662"/>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7"/>
      <c r="B66" s="663">
        <f>B13</f>
        <v>111</v>
      </c>
      <c r="C66" s="678"/>
      <c r="D66" s="678"/>
      <c r="E66" s="678"/>
      <c r="F66" s="678"/>
      <c r="G66" s="678"/>
      <c r="H66" s="679"/>
      <c r="I66" s="679"/>
      <c r="J66" s="679"/>
      <c r="K66" s="679"/>
      <c r="L66" s="680"/>
      <c r="M66" s="681"/>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7"/>
      <c r="B67" s="668"/>
      <c r="C67" s="682"/>
      <c r="D67" s="661"/>
      <c r="E67" s="661"/>
      <c r="F67" s="661"/>
      <c r="G67" s="682"/>
      <c r="H67" s="683"/>
      <c r="I67" s="683"/>
      <c r="J67" s="683"/>
      <c r="K67" s="683"/>
      <c r="L67" s="683"/>
      <c r="M67" s="684"/>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7"/>
      <c r="B68" s="671">
        <f>B14</f>
        <v>111</v>
      </c>
      <c r="C68" s="651"/>
      <c r="D68" s="651"/>
      <c r="E68" s="651"/>
      <c r="F68" s="651"/>
      <c r="G68" s="651"/>
      <c r="H68" s="685"/>
      <c r="I68" s="685"/>
      <c r="J68" s="685"/>
      <c r="K68" s="685"/>
      <c r="L68" s="686"/>
      <c r="M68" s="687"/>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8"/>
      <c r="B69" s="689"/>
      <c r="C69" s="690"/>
      <c r="D69" s="690"/>
      <c r="E69" s="690"/>
      <c r="F69" s="690"/>
      <c r="G69" s="690"/>
      <c r="H69" s="691"/>
      <c r="I69" s="691"/>
      <c r="J69" s="691"/>
      <c r="K69" s="691"/>
      <c r="L69" s="691"/>
      <c r="M69" s="692"/>
      <c r="N69" s="2046"/>
      <c r="O69" s="2046"/>
      <c r="P69" s="2047"/>
      <c r="Q69" s="2048"/>
      <c r="R69" s="2049"/>
      <c r="S69" s="2049"/>
      <c r="T69" s="2049"/>
      <c r="U69" s="2049"/>
      <c r="V69" s="2049"/>
      <c r="W69" s="2049"/>
      <c r="X69" s="2049"/>
      <c r="Y69" s="2049"/>
      <c r="Z69" s="2049"/>
      <c r="AA69" s="2049"/>
      <c r="AB69" s="2049"/>
      <c r="AC69" s="2049"/>
    </row>
    <row r="70" spans="1:29">
      <c r="A70" s="654" t="s">
        <v>531</v>
      </c>
      <c r="B70" s="655" t="s">
        <v>577</v>
      </c>
      <c r="C70" s="693" t="s">
        <v>571</v>
      </c>
      <c r="D70" s="693" t="s">
        <v>572</v>
      </c>
      <c r="E70" s="693" t="s">
        <v>573</v>
      </c>
      <c r="F70" s="693" t="s">
        <v>574</v>
      </c>
      <c r="G70" s="693" t="s">
        <v>575</v>
      </c>
      <c r="H70" s="694"/>
      <c r="I70" s="694"/>
      <c r="J70" s="694"/>
      <c r="K70" s="695"/>
      <c r="L70" s="696"/>
      <c r="M70" s="697"/>
      <c r="N70" s="2043"/>
      <c r="O70" s="2043"/>
      <c r="P70" s="2053"/>
      <c r="Q70" s="2037"/>
      <c r="R70" s="2025"/>
      <c r="S70" s="2025"/>
      <c r="T70" s="2025"/>
      <c r="U70" s="2025"/>
      <c r="V70" s="2025"/>
      <c r="W70" s="2025"/>
      <c r="X70" s="2025"/>
      <c r="Y70" s="2025"/>
      <c r="Z70" s="2025"/>
      <c r="AA70" s="2025"/>
      <c r="AB70" s="2025"/>
      <c r="AC70" s="20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5"/>
      <c r="O71" s="2045"/>
      <c r="P71" s="2044"/>
      <c r="Q71" s="2037"/>
      <c r="R71" s="2025"/>
      <c r="S71" s="2025"/>
      <c r="T71" s="2025"/>
      <c r="U71" s="2025"/>
      <c r="V71" s="2025"/>
      <c r="W71" s="2025"/>
      <c r="X71" s="2025"/>
      <c r="Y71" s="2025"/>
      <c r="Z71" s="2025"/>
      <c r="AA71" s="2025"/>
      <c r="AB71" s="2025"/>
      <c r="AC71" s="2025"/>
    </row>
    <row r="72" spans="1:29" ht="15.75" thickTop="1">
      <c r="A72" s="659"/>
      <c r="B72" s="663" t="s">
        <v>578</v>
      </c>
      <c r="C72" s="698" t="s">
        <v>571</v>
      </c>
      <c r="D72" s="698" t="s">
        <v>572</v>
      </c>
      <c r="E72" s="698" t="s">
        <v>573</v>
      </c>
      <c r="F72" s="698" t="s">
        <v>574</v>
      </c>
      <c r="G72" s="698" t="s">
        <v>575</v>
      </c>
      <c r="H72" s="664"/>
      <c r="I72" s="664"/>
      <c r="J72" s="664"/>
      <c r="K72" s="665"/>
      <c r="L72" s="666"/>
      <c r="M72" s="667"/>
      <c r="N72" s="2043"/>
      <c r="O72" s="2043"/>
      <c r="P72" s="2044"/>
      <c r="Q72" s="2037"/>
      <c r="R72" s="2025"/>
      <c r="S72" s="2025"/>
      <c r="T72" s="2025"/>
      <c r="U72" s="2025"/>
      <c r="V72" s="2025"/>
      <c r="W72" s="2025"/>
      <c r="X72" s="2025"/>
      <c r="Y72" s="2025"/>
      <c r="Z72" s="2025"/>
      <c r="AA72" s="2025"/>
      <c r="AB72" s="2025"/>
      <c r="AC72" s="20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5"/>
      <c r="O73" s="2045"/>
      <c r="P73" s="2044"/>
      <c r="Q73" s="2037"/>
      <c r="R73" s="2025"/>
      <c r="S73" s="2025"/>
      <c r="T73" s="2025"/>
      <c r="U73" s="2025"/>
      <c r="V73" s="2025"/>
      <c r="W73" s="2025"/>
      <c r="X73" s="2025"/>
      <c r="Y73" s="2025"/>
      <c r="Z73" s="2025"/>
      <c r="AA73" s="2025"/>
      <c r="AB73" s="2025"/>
      <c r="AC73" s="2025"/>
    </row>
    <row r="74" spans="1:29" ht="15.75" thickTop="1">
      <c r="A74" s="659"/>
      <c r="B74" s="1808" t="s">
        <v>2536</v>
      </c>
      <c r="C74" s="698" t="s">
        <v>571</v>
      </c>
      <c r="D74" s="698" t="s">
        <v>572</v>
      </c>
      <c r="E74" s="698" t="s">
        <v>573</v>
      </c>
      <c r="F74" s="698" t="s">
        <v>574</v>
      </c>
      <c r="G74" s="698" t="s">
        <v>575</v>
      </c>
      <c r="H74" s="664"/>
      <c r="I74" s="664"/>
      <c r="J74" s="664"/>
      <c r="K74" s="665"/>
      <c r="L74" s="666"/>
      <c r="M74" s="667"/>
      <c r="N74" s="2043"/>
      <c r="O74" s="2043"/>
      <c r="P74" s="2044"/>
      <c r="Q74" s="2037"/>
      <c r="R74" s="2025"/>
      <c r="S74" s="2025"/>
      <c r="T74" s="2025"/>
      <c r="U74" s="2025"/>
      <c r="V74" s="2025"/>
      <c r="W74" s="2025"/>
      <c r="X74" s="2025"/>
      <c r="Y74" s="2025"/>
      <c r="Z74" s="2025"/>
      <c r="AA74" s="2025"/>
      <c r="AB74" s="2025"/>
      <c r="AC74" s="20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5"/>
      <c r="O75" s="2045"/>
      <c r="P75" s="2044"/>
      <c r="Q75" s="2037"/>
      <c r="R75" s="2025"/>
      <c r="S75" s="2025"/>
      <c r="T75" s="2025"/>
      <c r="U75" s="2025"/>
      <c r="V75" s="2025"/>
      <c r="W75" s="2025"/>
      <c r="X75" s="2025"/>
      <c r="Y75" s="2025"/>
      <c r="Z75" s="2025"/>
      <c r="AA75" s="2025"/>
      <c r="AB75" s="2025"/>
      <c r="AC75" s="2025"/>
    </row>
    <row r="76" spans="1:29" ht="15.75" thickTop="1">
      <c r="A76" s="659"/>
      <c r="B76" s="2439" t="s">
        <v>2537</v>
      </c>
      <c r="C76" s="2440" t="s">
        <v>2538</v>
      </c>
      <c r="D76" s="2440" t="s">
        <v>2539</v>
      </c>
      <c r="E76" s="2440" t="s">
        <v>2540</v>
      </c>
      <c r="F76" s="2440" t="s">
        <v>2541</v>
      </c>
      <c r="G76" s="2440" t="s">
        <v>2542</v>
      </c>
      <c r="H76" s="922"/>
      <c r="I76" s="922"/>
      <c r="J76" s="922"/>
      <c r="K76" s="922"/>
      <c r="L76" s="922"/>
      <c r="M76" s="551"/>
      <c r="N76" s="2045"/>
      <c r="O76" s="2045"/>
      <c r="P76" s="2044"/>
      <c r="Q76" s="2037"/>
      <c r="R76" s="2025"/>
      <c r="S76" s="2025"/>
      <c r="T76" s="2025"/>
      <c r="U76" s="2025"/>
      <c r="V76" s="2025"/>
      <c r="W76" s="2025"/>
      <c r="X76" s="2025"/>
      <c r="Y76" s="2025"/>
      <c r="Z76" s="2025"/>
      <c r="AA76" s="2025"/>
      <c r="AB76" s="2025"/>
      <c r="AC76" s="20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776</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s="1201" customFormat="1" ht="15.75" thickTop="1">
      <c r="A80" s="699"/>
      <c r="B80" s="663">
        <f>B25</f>
        <v>111</v>
      </c>
      <c r="C80" s="678"/>
      <c r="D80" s="678"/>
      <c r="E80" s="678"/>
      <c r="F80" s="678"/>
      <c r="G80" s="678"/>
      <c r="H80" s="678"/>
      <c r="I80" s="678"/>
      <c r="J80" s="678"/>
      <c r="K80" s="678"/>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699"/>
      <c r="B81" s="668"/>
      <c r="C81" s="682"/>
      <c r="D81" s="661"/>
      <c r="E81" s="661"/>
      <c r="F81" s="661"/>
      <c r="G81" s="661"/>
      <c r="H81" s="661"/>
      <c r="I81" s="661"/>
      <c r="J81" s="661"/>
      <c r="K81" s="661"/>
      <c r="L81" s="661"/>
      <c r="M81" s="662"/>
      <c r="N81" s="2045"/>
      <c r="O81" s="2045"/>
      <c r="P81" s="2044"/>
      <c r="Q81" s="2037"/>
      <c r="R81" s="1903"/>
      <c r="S81" s="1903"/>
      <c r="T81" s="1903"/>
      <c r="U81" s="1903"/>
      <c r="V81" s="1903"/>
      <c r="W81" s="1903"/>
      <c r="X81" s="1903"/>
      <c r="Y81" s="1903"/>
      <c r="Z81" s="1903"/>
      <c r="AA81" s="1903"/>
      <c r="AB81" s="1903"/>
      <c r="AC81" s="1903"/>
    </row>
    <row r="82" spans="1:29" s="1201" customFormat="1" ht="15.75" thickTop="1">
      <c r="A82" s="699"/>
      <c r="B82" s="663">
        <f>B26</f>
        <v>111</v>
      </c>
      <c r="C82" s="678"/>
      <c r="D82" s="678"/>
      <c r="E82" s="678"/>
      <c r="F82" s="678"/>
      <c r="G82" s="678"/>
      <c r="H82" s="678"/>
      <c r="I82" s="678"/>
      <c r="J82" s="678"/>
      <c r="K82" s="678"/>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699"/>
      <c r="B83" s="668"/>
      <c r="C83" s="682"/>
      <c r="D83" s="661"/>
      <c r="E83" s="661"/>
      <c r="F83" s="661"/>
      <c r="G83" s="661"/>
      <c r="H83" s="661"/>
      <c r="I83" s="661"/>
      <c r="J83" s="661"/>
      <c r="K83" s="661"/>
      <c r="L83" s="661"/>
      <c r="M83" s="662"/>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7"/>
      <c r="B84" s="663">
        <f>B27</f>
        <v>111</v>
      </c>
      <c r="C84" s="678"/>
      <c r="D84" s="678"/>
      <c r="E84" s="678"/>
      <c r="F84" s="678"/>
      <c r="G84" s="678"/>
      <c r="H84" s="678"/>
      <c r="I84" s="678"/>
      <c r="J84" s="678"/>
      <c r="K84" s="678"/>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6"/>
      <c r="O85" s="2046"/>
      <c r="P85" s="2047"/>
      <c r="Q85" s="2048"/>
      <c r="R85" s="2049"/>
      <c r="S85" s="2049"/>
      <c r="T85" s="2049"/>
      <c r="U85" s="2049"/>
      <c r="V85" s="2049"/>
      <c r="W85" s="2049"/>
      <c r="X85" s="2049"/>
      <c r="Y85" s="2049"/>
      <c r="Z85" s="2049"/>
      <c r="AA85" s="2049"/>
      <c r="AB85" s="2049"/>
      <c r="AC85" s="2049"/>
    </row>
    <row r="86" spans="1:29" ht="15.75" thickTop="1">
      <c r="A86" s="659"/>
      <c r="B86" s="671">
        <f>B28</f>
        <v>111</v>
      </c>
      <c r="C86" s="651"/>
      <c r="D86" s="651"/>
      <c r="E86" s="651"/>
      <c r="F86" s="651"/>
      <c r="G86" s="712"/>
      <c r="H86" s="712"/>
      <c r="I86" s="712"/>
      <c r="J86" s="712"/>
      <c r="K86" s="713"/>
      <c r="L86" s="714"/>
      <c r="M86" s="715"/>
      <c r="N86" s="2043"/>
      <c r="O86" s="2043"/>
      <c r="P86" s="2044"/>
      <c r="Q86" s="2037"/>
      <c r="R86" s="2025"/>
      <c r="S86" s="2025"/>
      <c r="T86" s="2025"/>
      <c r="U86" s="2025"/>
      <c r="V86" s="2025"/>
      <c r="W86" s="2025"/>
      <c r="X86" s="2025"/>
      <c r="Y86" s="2025"/>
      <c r="Z86" s="2025"/>
      <c r="AA86" s="2025"/>
      <c r="AB86" s="2025"/>
      <c r="AC86" s="2025"/>
    </row>
    <row r="87" spans="1:29" ht="15.75" thickBot="1">
      <c r="A87" s="880"/>
      <c r="B87" s="689"/>
      <c r="C87" s="690"/>
      <c r="D87" s="690"/>
      <c r="E87" s="690"/>
      <c r="F87" s="690"/>
      <c r="G87" s="716"/>
      <c r="H87" s="716"/>
      <c r="I87" s="716"/>
      <c r="J87" s="716"/>
      <c r="K87" s="716"/>
      <c r="L87" s="716"/>
      <c r="M87" s="717"/>
      <c r="N87" s="2045"/>
      <c r="O87" s="2045"/>
      <c r="P87" s="2044"/>
      <c r="Q87" s="2037"/>
      <c r="R87" s="2025"/>
      <c r="S87" s="2025"/>
      <c r="T87" s="2025"/>
      <c r="U87" s="2025"/>
      <c r="V87" s="2025"/>
      <c r="W87" s="2025"/>
      <c r="X87" s="2025"/>
      <c r="Y87" s="2025"/>
      <c r="Z87" s="2025"/>
      <c r="AA87" s="2025"/>
      <c r="AB87" s="2025"/>
      <c r="AC87" s="2025"/>
    </row>
    <row r="88" spans="1:29">
      <c r="A88" s="654" t="s">
        <v>543</v>
      </c>
      <c r="B88" s="655" t="s">
        <v>739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8"/>
      <c r="B91" s="719"/>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5"/>
      <c r="O92" s="2045"/>
      <c r="P92" s="2047"/>
      <c r="Q92" s="2048"/>
      <c r="R92" s="2049"/>
      <c r="S92" s="2049"/>
      <c r="T92" s="2049"/>
      <c r="U92" s="2049"/>
      <c r="V92" s="2049"/>
      <c r="W92" s="2049"/>
      <c r="X92" s="2049"/>
      <c r="Y92" s="2049"/>
      <c r="Z92" s="2049"/>
      <c r="AA92" s="2049"/>
      <c r="AB92" s="2049"/>
      <c r="AC92" s="2049"/>
    </row>
    <row r="93" spans="1:29" ht="15" thickTop="1">
      <c r="A93" s="725"/>
      <c r="B93" s="663" t="s">
        <v>741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743</v>
      </c>
      <c r="C95" s="678"/>
      <c r="D95" s="678"/>
      <c r="E95" s="678"/>
      <c r="F95" s="708"/>
      <c r="G95" s="708"/>
      <c r="H95" s="708"/>
      <c r="I95" s="708"/>
      <c r="J95" s="708"/>
      <c r="K95" s="709"/>
      <c r="L95" s="710"/>
      <c r="M95" s="711"/>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3"/>
      <c r="O97" s="2043"/>
      <c r="P97" s="2044"/>
      <c r="Q97" s="2037"/>
      <c r="R97" s="2025"/>
      <c r="S97" s="2025"/>
      <c r="T97" s="2025"/>
      <c r="U97" s="2025"/>
      <c r="V97" s="2025"/>
      <c r="W97" s="2025"/>
      <c r="X97" s="2025"/>
      <c r="Y97" s="2025"/>
      <c r="Z97" s="2025"/>
      <c r="AA97" s="2025"/>
      <c r="AB97" s="2025"/>
      <c r="AC97" s="2025"/>
    </row>
    <row r="98" spans="1:29">
      <c r="A98" s="725"/>
      <c r="B98" s="671"/>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8"/>
      <c r="B100" s="663" t="s">
        <v>745</v>
      </c>
      <c r="C100" s="678"/>
      <c r="D100" s="678"/>
      <c r="E100" s="678"/>
      <c r="F100" s="678"/>
      <c r="G100" s="678"/>
      <c r="H100" s="708"/>
      <c r="I100" s="708"/>
      <c r="J100" s="708"/>
      <c r="K100" s="709"/>
      <c r="L100" s="710"/>
      <c r="M100" s="711"/>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5"/>
      <c r="B102" s="1808" t="s">
        <v>2535</v>
      </c>
      <c r="C102" s="678"/>
      <c r="D102" s="678"/>
      <c r="E102" s="678"/>
      <c r="F102" s="678"/>
      <c r="G102" s="678"/>
      <c r="H102" s="708"/>
      <c r="I102" s="708"/>
      <c r="J102" s="708"/>
      <c r="K102" s="709"/>
      <c r="L102" s="710"/>
      <c r="M102" s="711"/>
      <c r="N102" s="2043"/>
      <c r="O102" s="2043"/>
      <c r="P102" s="2044"/>
      <c r="Q102" s="2037"/>
      <c r="R102" s="2025"/>
      <c r="S102" s="2025"/>
      <c r="T102" s="2025"/>
      <c r="U102" s="2025"/>
      <c r="V102" s="2025"/>
      <c r="W102" s="2025"/>
      <c r="X102" s="2025"/>
      <c r="Y102" s="2025"/>
      <c r="Z102" s="2025"/>
      <c r="AA102" s="2025"/>
      <c r="AB102" s="2025"/>
      <c r="AC102" s="20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5"/>
      <c r="B104" s="663" t="s">
        <v>747</v>
      </c>
      <c r="C104" s="678"/>
      <c r="D104" s="678"/>
      <c r="E104" s="678"/>
      <c r="F104" s="678"/>
      <c r="G104" s="678"/>
      <c r="H104" s="708"/>
      <c r="I104" s="708"/>
      <c r="J104" s="708"/>
      <c r="K104" s="709"/>
      <c r="L104" s="710"/>
      <c r="M104" s="711"/>
      <c r="N104" s="2043"/>
      <c r="O104" s="2043"/>
      <c r="P104" s="2044"/>
      <c r="Q104" s="2037"/>
      <c r="R104" s="2025"/>
      <c r="S104" s="2025"/>
      <c r="T104" s="2025"/>
      <c r="U104" s="2025"/>
      <c r="V104" s="2025"/>
      <c r="W104" s="2025"/>
      <c r="X104" s="2025"/>
      <c r="Y104" s="2025"/>
      <c r="Z104" s="2025"/>
      <c r="AA104" s="2025"/>
      <c r="AB104" s="2025"/>
      <c r="AC104" s="20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5"/>
      <c r="O105" s="2045"/>
      <c r="P105" s="2044"/>
      <c r="Q105" s="2037"/>
      <c r="R105" s="2025"/>
      <c r="S105" s="2025"/>
      <c r="T105" s="2025"/>
      <c r="U105" s="2025"/>
      <c r="V105" s="2025"/>
      <c r="W105" s="2025"/>
      <c r="X105" s="2025"/>
      <c r="Y105" s="2025"/>
      <c r="Z105" s="2025"/>
      <c r="AA105" s="2025"/>
      <c r="AB105" s="2025"/>
      <c r="AC105" s="2025"/>
    </row>
    <row r="106" spans="1:29" ht="27.75" thickTop="1">
      <c r="A106" s="725"/>
      <c r="B106" s="904" t="s">
        <v>783</v>
      </c>
      <c r="C106" s="698" t="s">
        <v>571</v>
      </c>
      <c r="D106" s="698" t="s">
        <v>572</v>
      </c>
      <c r="E106" s="698" t="s">
        <v>573</v>
      </c>
      <c r="F106" s="698" t="s">
        <v>574</v>
      </c>
      <c r="G106" s="698" t="s">
        <v>575</v>
      </c>
      <c r="H106" s="664"/>
      <c r="I106" s="664"/>
      <c r="J106" s="664"/>
      <c r="K106" s="665"/>
      <c r="L106" s="666"/>
      <c r="M106" s="667"/>
      <c r="N106" s="2045"/>
      <c r="O106" s="2045"/>
      <c r="P106" s="2084"/>
      <c r="Q106" s="2085"/>
      <c r="R106" s="2025"/>
      <c r="S106" s="2025"/>
      <c r="T106" s="2025"/>
      <c r="U106" s="2025"/>
      <c r="V106" s="2025"/>
      <c r="W106" s="2025"/>
      <c r="X106" s="2025"/>
      <c r="Y106" s="2025"/>
      <c r="Z106" s="2025"/>
      <c r="AA106" s="2025"/>
      <c r="AB106" s="2025"/>
      <c r="AC106" s="20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8"/>
      <c r="B108" s="663">
        <f>B38</f>
        <v>111</v>
      </c>
      <c r="C108" s="678"/>
      <c r="D108" s="678"/>
      <c r="E108" s="678"/>
      <c r="F108" s="678"/>
      <c r="G108" s="678"/>
      <c r="H108" s="679"/>
      <c r="I108" s="679"/>
      <c r="J108" s="679"/>
      <c r="K108" s="679"/>
      <c r="L108" s="680"/>
      <c r="M108" s="681"/>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7"/>
      <c r="B109" s="660"/>
      <c r="C109" s="682"/>
      <c r="D109" s="661"/>
      <c r="E109" s="661"/>
      <c r="F109" s="661"/>
      <c r="G109" s="682"/>
      <c r="H109" s="683"/>
      <c r="I109" s="683"/>
      <c r="J109" s="683"/>
      <c r="K109" s="683"/>
      <c r="L109" s="683"/>
      <c r="M109" s="684"/>
      <c r="N109" s="2046"/>
      <c r="O109" s="2046"/>
      <c r="P109" s="2047"/>
      <c r="Q109" s="2048"/>
      <c r="R109" s="2049"/>
      <c r="S109" s="2049"/>
      <c r="T109" s="2049"/>
      <c r="U109" s="2049"/>
      <c r="V109" s="2049"/>
      <c r="W109" s="2049"/>
      <c r="X109" s="2049"/>
      <c r="Y109" s="2049"/>
      <c r="Z109" s="2049"/>
      <c r="AA109" s="2049"/>
      <c r="AB109" s="2049"/>
      <c r="AC109" s="2049"/>
    </row>
    <row r="110" spans="1:29" ht="15" thickTop="1">
      <c r="A110" s="725"/>
      <c r="B110" s="663">
        <f>B39</f>
        <v>111</v>
      </c>
      <c r="C110" s="678"/>
      <c r="D110" s="678"/>
      <c r="E110" s="678"/>
      <c r="F110" s="678"/>
      <c r="G110" s="678"/>
      <c r="H110" s="679"/>
      <c r="I110" s="679"/>
      <c r="J110" s="679"/>
      <c r="K110" s="679"/>
      <c r="L110" s="680"/>
      <c r="M110" s="68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82"/>
      <c r="D111" s="661"/>
      <c r="E111" s="661"/>
      <c r="F111" s="661"/>
      <c r="G111" s="682"/>
      <c r="H111" s="683"/>
      <c r="I111" s="683"/>
      <c r="J111" s="683"/>
      <c r="K111" s="683"/>
      <c r="L111" s="683"/>
      <c r="M111" s="684"/>
      <c r="N111" s="2045"/>
      <c r="O111" s="2045"/>
      <c r="P111" s="2044"/>
      <c r="Q111" s="2037"/>
      <c r="R111" s="2025"/>
      <c r="S111" s="2025"/>
      <c r="T111" s="2025"/>
      <c r="U111" s="2025"/>
      <c r="V111" s="2025"/>
      <c r="W111" s="2025"/>
      <c r="X111" s="2025"/>
      <c r="Y111" s="2025"/>
      <c r="Z111" s="2025"/>
      <c r="AA111" s="2025"/>
      <c r="AB111" s="2025"/>
      <c r="AC111" s="2025"/>
    </row>
    <row r="112" spans="1:29" ht="15" thickTop="1">
      <c r="A112" s="725"/>
      <c r="B112" s="671">
        <f>B40</f>
        <v>111</v>
      </c>
      <c r="C112" s="651"/>
      <c r="D112" s="651"/>
      <c r="E112" s="651"/>
      <c r="F112" s="651"/>
      <c r="G112" s="712"/>
      <c r="H112" s="712"/>
      <c r="I112" s="712"/>
      <c r="J112" s="712"/>
      <c r="K112" s="651"/>
      <c r="L112" s="652"/>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89"/>
      <c r="C113" s="690"/>
      <c r="D113" s="690"/>
      <c r="E113" s="690"/>
      <c r="F113" s="690"/>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786</v>
      </c>
      <c r="B2" s="837"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787</v>
      </c>
      <c r="B3" s="502" t="e">
        <f>IF(B37="元/平方米",C39,ROUND(B2*10000/D3,0))</f>
        <v>#DIV/0!</v>
      </c>
      <c r="C3" s="839" t="s">
        <v>788</v>
      </c>
      <c r="D3" s="838">
        <f>SUMIF('数据-汇总表'!$C19:$C33,D1,'数据-汇总表'!$E19:$E33)</f>
        <v>0</v>
      </c>
      <c r="E3" s="1760" t="s">
        <v>2062</v>
      </c>
      <c r="F3" s="838">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789</v>
      </c>
      <c r="B4" s="505"/>
      <c r="C4" s="3584" t="s">
        <v>790</v>
      </c>
      <c r="D4" s="3585"/>
      <c r="E4" s="3584" t="s">
        <v>791</v>
      </c>
      <c r="F4" s="3585"/>
      <c r="G4" s="3584" t="s">
        <v>792</v>
      </c>
      <c r="H4" s="3585"/>
      <c r="I4" s="3584" t="s">
        <v>793</v>
      </c>
      <c r="J4" s="3585"/>
      <c r="K4" s="506" t="s">
        <v>794</v>
      </c>
      <c r="L4" s="2013"/>
      <c r="M4" s="2014"/>
      <c r="N4" s="2014"/>
      <c r="O4" s="2014"/>
      <c r="P4" s="3586" t="s">
        <v>795</v>
      </c>
      <c r="Q4" s="3587"/>
      <c r="R4" s="3592" t="s">
        <v>791</v>
      </c>
      <c r="S4" s="3593"/>
      <c r="T4" s="3592" t="s">
        <v>792</v>
      </c>
      <c r="U4" s="3593"/>
      <c r="V4" s="3579" t="s">
        <v>793</v>
      </c>
      <c r="W4" s="3579"/>
      <c r="X4" s="1500"/>
      <c r="Y4" s="3592" t="s">
        <v>795</v>
      </c>
      <c r="Z4" s="3593"/>
      <c r="AA4" s="3581" t="s">
        <v>791</v>
      </c>
      <c r="AB4" s="3582" t="s">
        <v>792</v>
      </c>
      <c r="AC4" s="3581" t="s">
        <v>793</v>
      </c>
    </row>
    <row r="5" spans="1:29" ht="15">
      <c r="A5" s="507"/>
      <c r="B5" s="508"/>
      <c r="C5" s="3600" t="s">
        <v>2892</v>
      </c>
      <c r="D5" s="3601"/>
      <c r="E5" s="3600" t="s">
        <v>2893</v>
      </c>
      <c r="F5" s="3601"/>
      <c r="G5" s="3600" t="s">
        <v>2894</v>
      </c>
      <c r="H5" s="3601"/>
      <c r="I5" s="3600" t="s">
        <v>2895</v>
      </c>
      <c r="J5" s="3601"/>
      <c r="K5" s="506"/>
      <c r="L5" s="2013"/>
      <c r="M5" s="2014"/>
      <c r="N5" s="2014"/>
      <c r="O5" s="2014"/>
      <c r="P5" s="3588"/>
      <c r="Q5" s="3589"/>
      <c r="R5" s="3594"/>
      <c r="S5" s="3595"/>
      <c r="T5" s="3594"/>
      <c r="U5" s="3595"/>
      <c r="V5" s="3579"/>
      <c r="W5" s="3579"/>
      <c r="X5" s="1500"/>
      <c r="Y5" s="3594"/>
      <c r="Z5" s="3595"/>
      <c r="AA5" s="3582"/>
      <c r="AB5" s="3582"/>
      <c r="AC5" s="3582"/>
    </row>
    <row r="6" spans="1:29" ht="15.75" thickBot="1">
      <c r="A6" s="509"/>
      <c r="B6" s="510"/>
      <c r="C6" s="3598" t="s">
        <v>2896</v>
      </c>
      <c r="D6" s="3599"/>
      <c r="E6" s="3602" t="s">
        <v>2896</v>
      </c>
      <c r="F6" s="3603"/>
      <c r="G6" s="3598" t="s">
        <v>2896</v>
      </c>
      <c r="H6" s="3599"/>
      <c r="I6" s="3598" t="s">
        <v>2896</v>
      </c>
      <c r="J6" s="3599"/>
      <c r="K6" s="506" t="s">
        <v>520</v>
      </c>
      <c r="L6" s="2013"/>
      <c r="M6" s="2014"/>
      <c r="N6" s="2014"/>
      <c r="O6" s="2014"/>
      <c r="P6" s="3590"/>
      <c r="Q6" s="3591"/>
      <c r="R6" s="3594"/>
      <c r="S6" s="3595"/>
      <c r="T6" s="3596"/>
      <c r="U6" s="3597"/>
      <c r="V6" s="3579"/>
      <c r="W6" s="3579"/>
      <c r="X6" s="1500"/>
      <c r="Y6" s="3596"/>
      <c r="Z6" s="3597"/>
      <c r="AA6" s="3583"/>
      <c r="AB6" s="3583"/>
      <c r="AC6" s="3583"/>
    </row>
    <row r="7" spans="1:29" s="1201" customFormat="1" ht="15.75" thickBot="1">
      <c r="A7" s="2627"/>
      <c r="B7" s="2634" t="s">
        <v>521</v>
      </c>
      <c r="C7" s="511">
        <f>'数据-取费表'!B2</f>
        <v>44424</v>
      </c>
      <c r="D7" s="512">
        <v>100</v>
      </c>
      <c r="E7" s="513"/>
      <c r="F7" s="514">
        <f>SUMIF(48:48,YEAR(E7)&amp;"-"&amp;MONTH(E7),49:49)</f>
        <v>0</v>
      </c>
      <c r="G7" s="515"/>
      <c r="H7" s="512">
        <f>SUMIF(48:48,YEAR(G7)&amp;"-"&amp;MONTH(G7),49:49)</f>
        <v>0</v>
      </c>
      <c r="I7" s="515"/>
      <c r="J7" s="512">
        <f>SUMIF(48:48,YEAR(I7)&amp;"-"&amp;MONTH(I7),49:49)</f>
        <v>0</v>
      </c>
      <c r="K7" s="516"/>
      <c r="L7" s="2015"/>
      <c r="M7" s="2016"/>
      <c r="N7" s="2016"/>
      <c r="O7" s="2016"/>
      <c r="P7" s="3609" t="s">
        <v>522</v>
      </c>
      <c r="Q7" s="3611"/>
      <c r="R7" s="1501" t="s">
        <v>8</v>
      </c>
      <c r="S7" s="1502">
        <f t="shared" ref="S7:S14" si="0">F7</f>
        <v>0</v>
      </c>
      <c r="T7" s="1501" t="s">
        <v>8</v>
      </c>
      <c r="U7" s="1502">
        <f t="shared" ref="U7:U14" si="1">H7</f>
        <v>0</v>
      </c>
      <c r="V7" s="1501" t="s">
        <v>8</v>
      </c>
      <c r="W7" s="1502">
        <f t="shared" ref="W7:W14" si="2">J7</f>
        <v>0</v>
      </c>
      <c r="X7" s="1503"/>
      <c r="Y7" s="3609" t="s">
        <v>522</v>
      </c>
      <c r="Z7" s="3610"/>
      <c r="AA7" s="1504" t="e">
        <f>D7/F7</f>
        <v>#DIV/0!</v>
      </c>
      <c r="AB7" s="1504" t="e">
        <f>D7/H7</f>
        <v>#DIV/0!</v>
      </c>
      <c r="AC7" s="1504" t="e">
        <f>D7/J7</f>
        <v>#DIV/0!</v>
      </c>
    </row>
    <row r="8" spans="1:29" s="1201" customFormat="1" ht="15.75" thickBot="1">
      <c r="A8" s="2628"/>
      <c r="B8" s="2635" t="s">
        <v>523</v>
      </c>
      <c r="C8" s="517" t="s">
        <v>568</v>
      </c>
      <c r="D8" s="512">
        <v>100</v>
      </c>
      <c r="E8" s="517"/>
      <c r="F8" s="514">
        <f>SUMIF(51:51,E8,52:52)-SUMIF(51:51,C8,52:52)+100</f>
        <v>0</v>
      </c>
      <c r="G8" s="517"/>
      <c r="H8" s="512">
        <f>SUMIF(51:51,G8,52:52)-SUMIF(51:51,C8,52:52)+100</f>
        <v>0</v>
      </c>
      <c r="I8" s="517"/>
      <c r="J8" s="512">
        <f>SUMIF(51:51,I8,52:52)-SUMIF(51:51,C8,52:52)+100</f>
        <v>0</v>
      </c>
      <c r="K8" s="516"/>
      <c r="L8" s="2015"/>
      <c r="M8" s="2016"/>
      <c r="N8" s="2016"/>
      <c r="O8" s="2016"/>
      <c r="P8" s="3609" t="s">
        <v>525</v>
      </c>
      <c r="Q8" s="3610"/>
      <c r="R8" s="1501" t="s">
        <v>8</v>
      </c>
      <c r="S8" s="1502">
        <f t="shared" si="0"/>
        <v>0</v>
      </c>
      <c r="T8" s="1501" t="s">
        <v>8</v>
      </c>
      <c r="U8" s="1502">
        <f t="shared" si="1"/>
        <v>0</v>
      </c>
      <c r="V8" s="1501" t="s">
        <v>8</v>
      </c>
      <c r="W8" s="1502">
        <f t="shared" si="2"/>
        <v>0</v>
      </c>
      <c r="X8" s="1503"/>
      <c r="Y8" s="3609" t="s">
        <v>525</v>
      </c>
      <c r="Z8" s="3610"/>
      <c r="AA8" s="1504" t="e">
        <f t="shared" ref="AA8:AA36" si="3">D8/F8</f>
        <v>#DIV/0!</v>
      </c>
      <c r="AB8" s="1504" t="e">
        <f t="shared" ref="AB8:AB36" si="4">D8/H8</f>
        <v>#DIV/0!</v>
      </c>
      <c r="AC8" s="1504" t="e">
        <f t="shared" ref="AC8:AC36" si="5">D8/J8</f>
        <v>#DIV/0!</v>
      </c>
    </row>
    <row r="9" spans="1:29" s="1201" customFormat="1" ht="15">
      <c r="A9" s="2629"/>
      <c r="B9" s="2636" t="s">
        <v>2734</v>
      </c>
      <c r="C9" s="844"/>
      <c r="D9" s="250">
        <v>100</v>
      </c>
      <c r="E9" s="847"/>
      <c r="F9" s="250">
        <f>SUMIF(53:53,E9,54:54)-SUMIF(53:53,C9,54:54)+100</f>
        <v>100</v>
      </c>
      <c r="G9" s="845"/>
      <c r="H9" s="250">
        <f>SUMIF(53:53,G9,54:54)-SUMIF(53:53,C9,54:54)+100</f>
        <v>100</v>
      </c>
      <c r="I9" s="845"/>
      <c r="J9" s="250">
        <f>SUMIF(53:53,I9,54:54)-SUMIF(53:53,C9,54:54)+100</f>
        <v>100</v>
      </c>
      <c r="K9" s="516"/>
      <c r="L9" s="2015"/>
      <c r="M9" s="2016"/>
      <c r="N9" s="2016"/>
      <c r="O9" s="2017"/>
      <c r="P9" s="3578" t="s">
        <v>527</v>
      </c>
      <c r="Q9" s="1132" t="str">
        <f t="shared" ref="Q9:Q14" si="6">B9</f>
        <v>用途</v>
      </c>
      <c r="R9" s="1501" t="s">
        <v>8</v>
      </c>
      <c r="S9" s="1502">
        <f t="shared" si="0"/>
        <v>100</v>
      </c>
      <c r="T9" s="1501" t="s">
        <v>8</v>
      </c>
      <c r="U9" s="1502">
        <f t="shared" si="1"/>
        <v>100</v>
      </c>
      <c r="V9" s="1501" t="s">
        <v>8</v>
      </c>
      <c r="W9" s="1502">
        <f t="shared" si="2"/>
        <v>100</v>
      </c>
      <c r="X9" s="1503"/>
      <c r="Y9" s="3524"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SUMIF(55:55,E10,56:56)-SUMIF(55:55,C10,56:56)+100</f>
        <v>100</v>
      </c>
      <c r="G10" s="849"/>
      <c r="H10" s="251">
        <f>SUMIF(55:55,G10,56:56)-SUMIF(55:55,C10,56:56)+100</f>
        <v>100</v>
      </c>
      <c r="I10" s="848"/>
      <c r="J10" s="251">
        <f>SUMIF(55:55,I10,56:56)-SUMIF(55:55,C10,56:56)+100</f>
        <v>100</v>
      </c>
      <c r="K10" s="576"/>
      <c r="L10" s="2018"/>
      <c r="M10" s="2057"/>
      <c r="N10" s="2057"/>
      <c r="O10" s="2019"/>
      <c r="P10" s="3578"/>
      <c r="Q10" s="1132" t="str">
        <f t="shared" si="6"/>
        <v>土地使用年限（年）</v>
      </c>
      <c r="R10" s="1501" t="s">
        <v>8</v>
      </c>
      <c r="S10" s="1502">
        <f t="shared" si="0"/>
        <v>100</v>
      </c>
      <c r="T10" s="1501" t="s">
        <v>8</v>
      </c>
      <c r="U10" s="1502">
        <f t="shared" si="1"/>
        <v>100</v>
      </c>
      <c r="V10" s="1501" t="s">
        <v>8</v>
      </c>
      <c r="W10" s="1502">
        <f t="shared" si="2"/>
        <v>100</v>
      </c>
      <c r="X10" s="1503"/>
      <c r="Y10" s="3524"/>
      <c r="Z10" s="1131" t="str">
        <f t="shared" si="7"/>
        <v>土地使用年限（年）</v>
      </c>
      <c r="AA10" s="1504">
        <f t="shared" si="3"/>
        <v>1</v>
      </c>
      <c r="AB10" s="1504">
        <f t="shared" si="4"/>
        <v>1</v>
      </c>
      <c r="AC10" s="1504">
        <f t="shared" si="5"/>
        <v>1</v>
      </c>
    </row>
    <row r="11" spans="1:29" ht="15">
      <c r="A11" s="2632"/>
      <c r="B11" s="2638">
        <v>111</v>
      </c>
      <c r="C11" s="520"/>
      <c r="D11" s="251">
        <v>100</v>
      </c>
      <c r="E11" s="520"/>
      <c r="F11" s="251">
        <f>SUMIF(57:57,E11,58:58)-SUMIF(57:57,C11,58:58)+100</f>
        <v>100</v>
      </c>
      <c r="G11" s="520"/>
      <c r="H11" s="251">
        <f>SUMIF(57:57,G11,58:58)-SUMIF(57:57,C11,58:58)+100</f>
        <v>100</v>
      </c>
      <c r="I11" s="520"/>
      <c r="J11" s="251">
        <f>SUMIF(57:57,I11,58:58)-SUMIF(57:57,C11,58:58)+100</f>
        <v>100</v>
      </c>
      <c r="K11" s="573"/>
      <c r="L11" s="2020"/>
      <c r="M11" s="2014"/>
      <c r="N11" s="2014"/>
      <c r="O11" s="2021"/>
      <c r="P11" s="3578"/>
      <c r="Q11" s="1132">
        <f t="shared" si="6"/>
        <v>111</v>
      </c>
      <c r="R11" s="1501" t="s">
        <v>8</v>
      </c>
      <c r="S11" s="1502">
        <f t="shared" si="0"/>
        <v>100</v>
      </c>
      <c r="T11" s="1501" t="s">
        <v>8</v>
      </c>
      <c r="U11" s="1502">
        <f t="shared" si="1"/>
        <v>100</v>
      </c>
      <c r="V11" s="1501" t="s">
        <v>8</v>
      </c>
      <c r="W11" s="1502">
        <f t="shared" si="2"/>
        <v>100</v>
      </c>
      <c r="X11" s="1503"/>
      <c r="Y11" s="3524"/>
      <c r="Z11" s="1131">
        <f t="shared" si="7"/>
        <v>111</v>
      </c>
      <c r="AA11" s="1504">
        <f t="shared" si="3"/>
        <v>1</v>
      </c>
      <c r="AB11" s="1504">
        <f t="shared" si="4"/>
        <v>1</v>
      </c>
      <c r="AC11" s="1504">
        <f t="shared" si="5"/>
        <v>1</v>
      </c>
    </row>
    <row r="12" spans="1:29" s="1201" customFormat="1" ht="15">
      <c r="A12" s="2632"/>
      <c r="B12" s="2638">
        <v>111</v>
      </c>
      <c r="C12" s="520"/>
      <c r="D12" s="530">
        <v>100</v>
      </c>
      <c r="E12" s="520"/>
      <c r="F12" s="251">
        <f>SUMIF(59:59,E12,60:60)-SUMIF(59:59,C12,60:60)+100</f>
        <v>100</v>
      </c>
      <c r="G12" s="520"/>
      <c r="H12" s="251">
        <f>SUMIF(59:59,G12,60:60)-SUMIF(59:59,C12,60:60)+100</f>
        <v>100</v>
      </c>
      <c r="I12" s="520"/>
      <c r="J12" s="251">
        <f>SUMIF(59:59,I12,60:60)-SUMIF(59:59,C12,60:60)+100</f>
        <v>100</v>
      </c>
      <c r="K12" s="573"/>
      <c r="L12" s="2015"/>
      <c r="M12" s="2016"/>
      <c r="N12" s="2016"/>
      <c r="O12" s="2017"/>
      <c r="P12" s="3578"/>
      <c r="Q12" s="1132">
        <f t="shared" si="6"/>
        <v>111</v>
      </c>
      <c r="R12" s="1501" t="s">
        <v>8</v>
      </c>
      <c r="S12" s="1502">
        <f t="shared" si="0"/>
        <v>100</v>
      </c>
      <c r="T12" s="1501" t="s">
        <v>8</v>
      </c>
      <c r="U12" s="1502">
        <f t="shared" si="1"/>
        <v>100</v>
      </c>
      <c r="V12" s="1501" t="s">
        <v>8</v>
      </c>
      <c r="W12" s="1502">
        <f t="shared" si="2"/>
        <v>100</v>
      </c>
      <c r="X12" s="1503"/>
      <c r="Y12" s="3524"/>
      <c r="Z12" s="1131">
        <f t="shared" si="7"/>
        <v>111</v>
      </c>
      <c r="AA12" s="1504">
        <f>D12/F12</f>
        <v>1</v>
      </c>
      <c r="AB12" s="1504">
        <f>D12/H12</f>
        <v>1</v>
      </c>
      <c r="AC12" s="1504">
        <f>D12/J12</f>
        <v>1</v>
      </c>
    </row>
    <row r="13" spans="1:29" ht="15.75" thickBot="1">
      <c r="A13" s="2633"/>
      <c r="B13" s="2639">
        <v>111</v>
      </c>
      <c r="C13" s="531"/>
      <c r="D13" s="532">
        <v>100</v>
      </c>
      <c r="E13" s="520"/>
      <c r="F13" s="251">
        <f>SUMIF(61:61,E13,62:62)-SUMIF(61:61,C13,62:62)+100</f>
        <v>100</v>
      </c>
      <c r="G13" s="520"/>
      <c r="H13" s="532">
        <f>SUMIF(61:61,G13,62:62)-SUMIF(61:61,C13,62:62)+100</f>
        <v>100</v>
      </c>
      <c r="I13" s="520"/>
      <c r="J13" s="532">
        <f>SUMIF(61:61,I13,62:62)-SUMIF(61:61,C13,62:62)+100</f>
        <v>100</v>
      </c>
      <c r="K13" s="573"/>
      <c r="L13" s="2022"/>
      <c r="M13" s="2014"/>
      <c r="N13" s="2014"/>
      <c r="O13" s="2021"/>
      <c r="P13" s="3578"/>
      <c r="Q13" s="1132">
        <f t="shared" si="6"/>
        <v>111</v>
      </c>
      <c r="R13" s="1501" t="s">
        <v>8</v>
      </c>
      <c r="S13" s="1502">
        <f t="shared" si="0"/>
        <v>100</v>
      </c>
      <c r="T13" s="1501" t="s">
        <v>8</v>
      </c>
      <c r="U13" s="1502">
        <f t="shared" si="1"/>
        <v>100</v>
      </c>
      <c r="V13" s="1501" t="s">
        <v>8</v>
      </c>
      <c r="W13" s="1502">
        <f t="shared" si="2"/>
        <v>100</v>
      </c>
      <c r="X13" s="1503"/>
      <c r="Y13" s="3524"/>
      <c r="Z13" s="1131">
        <f t="shared" si="7"/>
        <v>111</v>
      </c>
      <c r="AA13" s="1504">
        <f t="shared" si="3"/>
        <v>1</v>
      </c>
      <c r="AB13" s="1504">
        <f t="shared" si="4"/>
        <v>1</v>
      </c>
      <c r="AC13" s="1504">
        <f t="shared" si="5"/>
        <v>1</v>
      </c>
    </row>
    <row r="14" spans="1:29" ht="156.75">
      <c r="A14" s="2625" t="s">
        <v>2732</v>
      </c>
      <c r="B14" s="539"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2"/>
      <c r="M14" s="2014"/>
      <c r="N14" s="2014"/>
      <c r="O14" s="2021"/>
      <c r="P14" s="3612" t="s">
        <v>532</v>
      </c>
      <c r="Q14" s="1505" t="str">
        <f t="shared" si="6"/>
        <v>交通便捷度</v>
      </c>
      <c r="R14" s="1506" t="s">
        <v>8</v>
      </c>
      <c r="S14" s="1507">
        <f t="shared" si="0"/>
        <v>100</v>
      </c>
      <c r="T14" s="1506" t="s">
        <v>8</v>
      </c>
      <c r="U14" s="1507">
        <f t="shared" si="1"/>
        <v>100</v>
      </c>
      <c r="V14" s="1506" t="s">
        <v>8</v>
      </c>
      <c r="W14" s="1507">
        <f t="shared" si="2"/>
        <v>100</v>
      </c>
      <c r="X14" s="1500"/>
      <c r="Y14" s="3612" t="s">
        <v>532</v>
      </c>
      <c r="Z14" s="1508" t="str">
        <f t="shared" si="7"/>
        <v>交通便捷度</v>
      </c>
      <c r="AA14" s="1509">
        <f t="shared" si="3"/>
        <v>1</v>
      </c>
      <c r="AB14" s="1509">
        <f t="shared" si="4"/>
        <v>1</v>
      </c>
      <c r="AC14" s="1509">
        <f t="shared" si="5"/>
        <v>1</v>
      </c>
    </row>
    <row r="15" spans="1:29" ht="15">
      <c r="A15" s="507"/>
      <c r="B15" s="911"/>
      <c r="C15" s="568"/>
      <c r="D15" s="547"/>
      <c r="E15" s="568"/>
      <c r="F15" s="549"/>
      <c r="G15" s="568"/>
      <c r="H15" s="551"/>
      <c r="I15" s="568"/>
      <c r="J15" s="547"/>
      <c r="K15" s="886"/>
      <c r="L15" s="2022"/>
      <c r="M15" s="2014"/>
      <c r="N15" s="2014"/>
      <c r="O15" s="2021"/>
      <c r="P15" s="3613"/>
      <c r="Q15" s="1505"/>
      <c r="R15" s="1506"/>
      <c r="S15" s="1507"/>
      <c r="T15" s="1506"/>
      <c r="U15" s="1507"/>
      <c r="V15" s="1506"/>
      <c r="W15" s="1507"/>
      <c r="X15" s="1500"/>
      <c r="Y15" s="3613"/>
      <c r="Z15" s="1508"/>
      <c r="AA15" s="1509">
        <v>1</v>
      </c>
      <c r="AB15" s="1509">
        <v>1</v>
      </c>
      <c r="AC15" s="1509">
        <v>1</v>
      </c>
    </row>
    <row r="16" spans="1:29" ht="342">
      <c r="A16" s="507"/>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4"/>
      <c r="F16" s="563">
        <f>SUMIF(65:65,E17,66:66)-SUMIF(65:65,C17,66:66)+100</f>
        <v>100</v>
      </c>
      <c r="G16" s="564"/>
      <c r="H16" s="557">
        <f>SUMIF(65:65,G17,66:66)-SUMIF(65:65,C17,66:66)+100</f>
        <v>100</v>
      </c>
      <c r="I16" s="562"/>
      <c r="J16" s="557">
        <f>SUMIF(65:65,I17,66:66)-SUMIF(65:65,C17,66:66)+100</f>
        <v>100</v>
      </c>
      <c r="K16" s="885"/>
      <c r="L16" s="2022"/>
      <c r="M16" s="2014"/>
      <c r="N16" s="2014"/>
      <c r="O16" s="2021"/>
      <c r="P16" s="3613"/>
      <c r="Q16" s="1505" t="str">
        <f>B16</f>
        <v>公共配套设施</v>
      </c>
      <c r="R16" s="1506" t="s">
        <v>8</v>
      </c>
      <c r="S16" s="1507">
        <f>F16</f>
        <v>100</v>
      </c>
      <c r="T16" s="1506" t="s">
        <v>8</v>
      </c>
      <c r="U16" s="1507">
        <f>H16</f>
        <v>100</v>
      </c>
      <c r="V16" s="1506" t="s">
        <v>8</v>
      </c>
      <c r="W16" s="1507">
        <f>J16</f>
        <v>100</v>
      </c>
      <c r="X16" s="1500"/>
      <c r="Y16" s="3613"/>
      <c r="Z16" s="1508" t="str">
        <f>Q16</f>
        <v>公共配套设施</v>
      </c>
      <c r="AA16" s="1509">
        <f t="shared" si="3"/>
        <v>1</v>
      </c>
      <c r="AB16" s="1509">
        <f t="shared" si="4"/>
        <v>1</v>
      </c>
      <c r="AC16" s="1509">
        <f t="shared" si="5"/>
        <v>1</v>
      </c>
    </row>
    <row r="17" spans="1:29" ht="15">
      <c r="A17" s="507"/>
      <c r="B17" s="558"/>
      <c r="C17" s="860"/>
      <c r="D17" s="547"/>
      <c r="E17" s="568"/>
      <c r="F17" s="549"/>
      <c r="G17" s="568"/>
      <c r="H17" s="547"/>
      <c r="I17" s="568"/>
      <c r="J17" s="547"/>
      <c r="K17" s="886"/>
      <c r="L17" s="2022"/>
      <c r="M17" s="2014"/>
      <c r="N17" s="2014"/>
      <c r="O17" s="2021"/>
      <c r="P17" s="3613"/>
      <c r="Q17" s="1505"/>
      <c r="R17" s="1506"/>
      <c r="S17" s="1507"/>
      <c r="T17" s="1506"/>
      <c r="U17" s="1507"/>
      <c r="V17" s="1506"/>
      <c r="W17" s="1507"/>
      <c r="X17" s="1500"/>
      <c r="Y17" s="3613"/>
      <c r="Z17" s="1508"/>
      <c r="AA17" s="1509">
        <v>1</v>
      </c>
      <c r="AB17" s="1509">
        <v>1</v>
      </c>
      <c r="AC17" s="1509">
        <v>1</v>
      </c>
    </row>
    <row r="18" spans="1:29" ht="156.75">
      <c r="A18" s="507"/>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64"/>
      <c r="F18" s="563">
        <f>SUMIF(67:67,E19,68:68)-SUMIF(67:67,C19,68:68)+100</f>
        <v>100</v>
      </c>
      <c r="G18" s="564"/>
      <c r="H18" s="557">
        <f>SUMIF(67:67,G19,68:68)-SUMIF(67:67,C19,68:68)+100</f>
        <v>100</v>
      </c>
      <c r="I18" s="562"/>
      <c r="J18" s="557">
        <f>SUMIF(67:67,I19,68:68)-SUMIF(67:67,C19,68:68)+100</f>
        <v>100</v>
      </c>
      <c r="K18" s="885"/>
      <c r="L18" s="2022"/>
      <c r="M18" s="2014"/>
      <c r="N18" s="2014"/>
      <c r="O18" s="2021"/>
      <c r="P18" s="3613"/>
      <c r="Q18" s="2427" t="str">
        <f>B18</f>
        <v>基础设施水平</v>
      </c>
      <c r="R18" s="1506" t="s">
        <v>8</v>
      </c>
      <c r="S18" s="1507">
        <f>F18</f>
        <v>100</v>
      </c>
      <c r="T18" s="1506" t="s">
        <v>8</v>
      </c>
      <c r="U18" s="1507">
        <f>H18</f>
        <v>100</v>
      </c>
      <c r="V18" s="1506" t="s">
        <v>8</v>
      </c>
      <c r="W18" s="1507">
        <f>J18</f>
        <v>100</v>
      </c>
      <c r="X18" s="2429"/>
      <c r="Y18" s="3613"/>
      <c r="Z18" s="2428" t="str">
        <f>Q18</f>
        <v>基础设施水平</v>
      </c>
      <c r="AA18" s="1509">
        <f t="shared" ref="AA18" si="8">D18/F18</f>
        <v>1</v>
      </c>
      <c r="AB18" s="1509">
        <f t="shared" ref="AB18" si="9">D18/H18</f>
        <v>1</v>
      </c>
      <c r="AC18" s="1509">
        <f t="shared" ref="AC18" si="10">D18/J18</f>
        <v>1</v>
      </c>
    </row>
    <row r="19" spans="1:29" ht="15">
      <c r="A19" s="507"/>
      <c r="B19" s="570"/>
      <c r="C19" s="860"/>
      <c r="D19" s="551"/>
      <c r="E19" s="568"/>
      <c r="F19" s="549"/>
      <c r="G19" s="568"/>
      <c r="H19" s="547"/>
      <c r="I19" s="568"/>
      <c r="J19" s="547"/>
      <c r="K19" s="2444"/>
      <c r="L19" s="2022"/>
      <c r="M19" s="2014"/>
      <c r="N19" s="2014"/>
      <c r="O19" s="2021"/>
      <c r="P19" s="3613"/>
      <c r="Q19" s="2427"/>
      <c r="R19" s="1506"/>
      <c r="S19" s="1507"/>
      <c r="T19" s="1506"/>
      <c r="U19" s="1507"/>
      <c r="V19" s="1506"/>
      <c r="W19" s="1507"/>
      <c r="X19" s="2429"/>
      <c r="Y19" s="3613"/>
      <c r="Z19" s="2428"/>
      <c r="AA19" s="1509">
        <v>1</v>
      </c>
      <c r="AB19" s="1509">
        <v>1</v>
      </c>
      <c r="AC19" s="1509">
        <v>1</v>
      </c>
    </row>
    <row r="20" spans="1:29" ht="185.25">
      <c r="A20" s="507"/>
      <c r="B20" s="552"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54"/>
      <c r="F20" s="555">
        <f>SUMIF(69:69,E21,70:70)-SUMIF(69:69,C21,70:70)+100</f>
        <v>100</v>
      </c>
      <c r="G20" s="556"/>
      <c r="H20" s="551">
        <f>SUMIF(69:69,G21,70:70)-SUMIF(69:69,C21,70:70)+100</f>
        <v>100</v>
      </c>
      <c r="I20" s="554"/>
      <c r="J20" s="551">
        <f>SUMIF(69:69,I21,70:70)-SUMIF(69:69,C21,70:70)+100</f>
        <v>100</v>
      </c>
      <c r="K20" s="885"/>
      <c r="L20" s="2022"/>
      <c r="M20" s="2014"/>
      <c r="N20" s="2014"/>
      <c r="O20" s="2021"/>
      <c r="P20" s="3613"/>
      <c r="Q20" s="1505" t="str">
        <f>B20</f>
        <v>自然及人文环境</v>
      </c>
      <c r="R20" s="1506" t="s">
        <v>8</v>
      </c>
      <c r="S20" s="1507">
        <f>F20</f>
        <v>100</v>
      </c>
      <c r="T20" s="1506" t="s">
        <v>8</v>
      </c>
      <c r="U20" s="1507">
        <f>H20</f>
        <v>100</v>
      </c>
      <c r="V20" s="1506" t="s">
        <v>8</v>
      </c>
      <c r="W20" s="1507">
        <f>J20</f>
        <v>100</v>
      </c>
      <c r="X20" s="1500"/>
      <c r="Y20" s="3613"/>
      <c r="Z20" s="1508" t="str">
        <f>Q20</f>
        <v>自然及人文环境</v>
      </c>
      <c r="AA20" s="1509">
        <f t="shared" si="3"/>
        <v>1</v>
      </c>
      <c r="AB20" s="1509">
        <f t="shared" si="4"/>
        <v>1</v>
      </c>
      <c r="AC20" s="1509">
        <f t="shared" si="5"/>
        <v>1</v>
      </c>
    </row>
    <row r="21" spans="1:29" ht="15">
      <c r="A21" s="507"/>
      <c r="B21" s="558"/>
      <c r="C21" s="568"/>
      <c r="D21" s="547"/>
      <c r="E21" s="568"/>
      <c r="F21" s="549"/>
      <c r="G21" s="568"/>
      <c r="H21" s="547"/>
      <c r="I21" s="568"/>
      <c r="J21" s="547"/>
      <c r="K21" s="886"/>
      <c r="L21" s="2022"/>
      <c r="M21" s="2014"/>
      <c r="N21" s="2014"/>
      <c r="O21" s="2021"/>
      <c r="P21" s="3613"/>
      <c r="Q21" s="1505"/>
      <c r="R21" s="1506"/>
      <c r="S21" s="1507"/>
      <c r="T21" s="1506"/>
      <c r="U21" s="1507"/>
      <c r="V21" s="1506"/>
      <c r="W21" s="1507"/>
      <c r="X21" s="1500"/>
      <c r="Y21" s="3613"/>
      <c r="Z21" s="1508"/>
      <c r="AA21" s="1509">
        <v>1</v>
      </c>
      <c r="AB21" s="1509">
        <v>1</v>
      </c>
      <c r="AC21" s="1509">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2"/>
      <c r="M22" s="2014"/>
      <c r="N22" s="2014"/>
      <c r="O22" s="2021"/>
      <c r="P22" s="3613"/>
      <c r="Q22" s="1505" t="str">
        <f>B22</f>
        <v>楼层</v>
      </c>
      <c r="R22" s="1506" t="s">
        <v>8</v>
      </c>
      <c r="S22" s="1507">
        <f>F22</f>
        <v>100</v>
      </c>
      <c r="T22" s="1506" t="s">
        <v>8</v>
      </c>
      <c r="U22" s="1507">
        <f>H22</f>
        <v>100</v>
      </c>
      <c r="V22" s="1506" t="s">
        <v>8</v>
      </c>
      <c r="W22" s="1507">
        <f>J22</f>
        <v>100</v>
      </c>
      <c r="X22" s="1500"/>
      <c r="Y22" s="3613"/>
      <c r="Z22" s="1508" t="str">
        <f>Q22</f>
        <v>楼层</v>
      </c>
      <c r="AA22" s="1509">
        <f t="shared" si="3"/>
        <v>1</v>
      </c>
      <c r="AB22" s="1509">
        <f t="shared" si="4"/>
        <v>1</v>
      </c>
      <c r="AC22" s="1509">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2"/>
      <c r="M23" s="2014"/>
      <c r="N23" s="2014"/>
      <c r="O23" s="2021"/>
      <c r="P23" s="3613"/>
      <c r="Q23" s="1505">
        <f>B23</f>
        <v>111</v>
      </c>
      <c r="R23" s="1506" t="s">
        <v>8</v>
      </c>
      <c r="S23" s="1507">
        <f>F23</f>
        <v>100</v>
      </c>
      <c r="T23" s="1506" t="s">
        <v>8</v>
      </c>
      <c r="U23" s="1507">
        <f>H23</f>
        <v>100</v>
      </c>
      <c r="V23" s="1506" t="s">
        <v>8</v>
      </c>
      <c r="W23" s="1507">
        <f>J23</f>
        <v>100</v>
      </c>
      <c r="X23" s="1500"/>
      <c r="Y23" s="3613"/>
      <c r="Z23" s="1508">
        <f>Q23</f>
        <v>111</v>
      </c>
      <c r="AA23" s="1509">
        <f t="shared" si="3"/>
        <v>1</v>
      </c>
      <c r="AB23" s="1509">
        <f t="shared" si="4"/>
        <v>1</v>
      </c>
      <c r="AC23" s="1509">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2"/>
      <c r="M24" s="2014"/>
      <c r="N24" s="2014"/>
      <c r="O24" s="2021"/>
      <c r="P24" s="3613"/>
      <c r="Q24" s="1505">
        <f t="shared" ref="Q24:Q36" si="11">B24</f>
        <v>111</v>
      </c>
      <c r="R24" s="1506" t="s">
        <v>8</v>
      </c>
      <c r="S24" s="1507">
        <f>F24</f>
        <v>100</v>
      </c>
      <c r="T24" s="1506" t="s">
        <v>8</v>
      </c>
      <c r="U24" s="1507">
        <f>H24</f>
        <v>100</v>
      </c>
      <c r="V24" s="1506" t="s">
        <v>8</v>
      </c>
      <c r="W24" s="1507">
        <f>J24</f>
        <v>100</v>
      </c>
      <c r="X24" s="1500"/>
      <c r="Y24" s="3613"/>
      <c r="Z24" s="1508">
        <f>Q24</f>
        <v>111</v>
      </c>
      <c r="AA24" s="1509">
        <f t="shared" si="3"/>
        <v>1</v>
      </c>
      <c r="AB24" s="1509">
        <f t="shared" si="4"/>
        <v>1</v>
      </c>
      <c r="AC24" s="1509">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5"/>
      <c r="M25" s="2016"/>
      <c r="N25" s="2016"/>
      <c r="O25" s="2017"/>
      <c r="P25" s="3613"/>
      <c r="Q25" s="1132">
        <f t="shared" si="11"/>
        <v>111</v>
      </c>
      <c r="R25" s="1501" t="s">
        <v>8</v>
      </c>
      <c r="S25" s="1502">
        <f>F25</f>
        <v>100</v>
      </c>
      <c r="T25" s="1501" t="s">
        <v>8</v>
      </c>
      <c r="U25" s="1502">
        <f>H25</f>
        <v>100</v>
      </c>
      <c r="V25" s="1501" t="s">
        <v>8</v>
      </c>
      <c r="W25" s="1502">
        <f>J25</f>
        <v>100</v>
      </c>
      <c r="X25" s="1503"/>
      <c r="Y25" s="3613"/>
      <c r="Z25" s="1131">
        <f>Q25</f>
        <v>111</v>
      </c>
      <c r="AA25" s="1509">
        <f>D25/F25</f>
        <v>1</v>
      </c>
      <c r="AB25" s="1509">
        <f>D25/H25</f>
        <v>1</v>
      </c>
      <c r="AC25" s="1509">
        <f>D25/J25</f>
        <v>1</v>
      </c>
    </row>
    <row r="26" spans="1:29" ht="15">
      <c r="A26" s="2622"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2"/>
      <c r="M26" s="2014"/>
      <c r="N26" s="2014"/>
      <c r="O26" s="2021"/>
      <c r="P26" s="3614" t="s">
        <v>542</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615" t="s">
        <v>542</v>
      </c>
      <c r="Z26" s="1508" t="str">
        <f t="shared" ref="Z26:Z36" si="15">Q26</f>
        <v>配套类型</v>
      </c>
      <c r="AA26" s="1509">
        <f t="shared" si="3"/>
        <v>1</v>
      </c>
      <c r="AB26" s="1509">
        <f t="shared" si="4"/>
        <v>1</v>
      </c>
      <c r="AC26" s="1509">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20"/>
      <c r="M27" s="2050"/>
      <c r="N27" s="2050"/>
      <c r="O27" s="2023"/>
      <c r="P27" s="3615"/>
      <c r="Q27" s="1534" t="str">
        <f t="shared" si="11"/>
        <v>项目停车位配比</v>
      </c>
      <c r="R27" s="1510" t="s">
        <v>8</v>
      </c>
      <c r="S27" s="1511">
        <f t="shared" si="12"/>
        <v>100</v>
      </c>
      <c r="T27" s="1510" t="s">
        <v>8</v>
      </c>
      <c r="U27" s="1511">
        <f t="shared" si="13"/>
        <v>100</v>
      </c>
      <c r="V27" s="1510" t="s">
        <v>8</v>
      </c>
      <c r="W27" s="1511">
        <f t="shared" si="14"/>
        <v>100</v>
      </c>
      <c r="X27" s="1512"/>
      <c r="Y27" s="3615"/>
      <c r="Z27" s="1513" t="str">
        <f t="shared" si="15"/>
        <v>项目停车位配比</v>
      </c>
      <c r="AA27" s="1509">
        <f t="shared" si="3"/>
        <v>1</v>
      </c>
      <c r="AB27" s="1509">
        <f t="shared" si="4"/>
        <v>1</v>
      </c>
      <c r="AC27" s="1509">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2"/>
      <c r="M28" s="2014"/>
      <c r="N28" s="2014"/>
      <c r="O28" s="2021"/>
      <c r="P28" s="3615"/>
      <c r="Q28" s="1505" t="str">
        <f t="shared" si="11"/>
        <v>公共部分装修</v>
      </c>
      <c r="R28" s="1506" t="s">
        <v>8</v>
      </c>
      <c r="S28" s="1507">
        <f t="shared" si="12"/>
        <v>100</v>
      </c>
      <c r="T28" s="1506" t="s">
        <v>8</v>
      </c>
      <c r="U28" s="1507">
        <f t="shared" si="13"/>
        <v>100</v>
      </c>
      <c r="V28" s="1506" t="s">
        <v>8</v>
      </c>
      <c r="W28" s="1507">
        <f t="shared" si="14"/>
        <v>100</v>
      </c>
      <c r="X28" s="1500"/>
      <c r="Y28" s="3615"/>
      <c r="Z28" s="1508" t="str">
        <f t="shared" si="15"/>
        <v>公共部分装修</v>
      </c>
      <c r="AA28" s="1509">
        <f t="shared" si="3"/>
        <v>1</v>
      </c>
      <c r="AB28" s="1509">
        <f t="shared" si="4"/>
        <v>1</v>
      </c>
      <c r="AC28" s="1509">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2"/>
      <c r="M29" s="2014"/>
      <c r="N29" s="2014"/>
      <c r="O29" s="2021"/>
      <c r="P29" s="3615"/>
      <c r="Q29" s="1505" t="str">
        <f t="shared" si="11"/>
        <v>成新率</v>
      </c>
      <c r="R29" s="1506" t="s">
        <v>8</v>
      </c>
      <c r="S29" s="1507" t="e">
        <f t="shared" si="12"/>
        <v>#N/A</v>
      </c>
      <c r="T29" s="1506" t="s">
        <v>8</v>
      </c>
      <c r="U29" s="1507" t="e">
        <f t="shared" si="13"/>
        <v>#N/A</v>
      </c>
      <c r="V29" s="1506" t="s">
        <v>8</v>
      </c>
      <c r="W29" s="1507" t="e">
        <f t="shared" si="14"/>
        <v>#N/A</v>
      </c>
      <c r="X29" s="1500"/>
      <c r="Y29" s="3615"/>
      <c r="Z29" s="1508" t="str">
        <f t="shared" si="15"/>
        <v>成新率</v>
      </c>
      <c r="AA29" s="1509" t="e">
        <f t="shared" si="3"/>
        <v>#N/A</v>
      </c>
      <c r="AB29" s="1509" t="e">
        <f t="shared" si="4"/>
        <v>#N/A</v>
      </c>
      <c r="AC29" s="1509"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2"/>
      <c r="M30" s="2014"/>
      <c r="N30" s="2014"/>
      <c r="O30" s="2021"/>
      <c r="P30" s="3615"/>
      <c r="Q30" s="1505" t="str">
        <f t="shared" si="11"/>
        <v>物业等级</v>
      </c>
      <c r="R30" s="1506" t="s">
        <v>8</v>
      </c>
      <c r="S30" s="1507">
        <f t="shared" si="12"/>
        <v>100</v>
      </c>
      <c r="T30" s="1506" t="s">
        <v>8</v>
      </c>
      <c r="U30" s="1507">
        <f t="shared" si="13"/>
        <v>100</v>
      </c>
      <c r="V30" s="1506" t="s">
        <v>8</v>
      </c>
      <c r="W30" s="1507">
        <f t="shared" si="14"/>
        <v>100</v>
      </c>
      <c r="X30" s="1500"/>
      <c r="Y30" s="3615"/>
      <c r="Z30" s="1508" t="str">
        <f t="shared" si="15"/>
        <v>物业等级</v>
      </c>
      <c r="AA30" s="1509">
        <f t="shared" si="3"/>
        <v>1</v>
      </c>
      <c r="AB30" s="1509">
        <f t="shared" si="4"/>
        <v>1</v>
      </c>
      <c r="AC30" s="1509">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5"/>
      <c r="M31" s="2016"/>
      <c r="N31" s="2016"/>
      <c r="O31" s="2017"/>
      <c r="P31" s="3615"/>
      <c r="Q31" s="1132" t="str">
        <f t="shared" si="11"/>
        <v>停车位面积</v>
      </c>
      <c r="R31" s="1501" t="s">
        <v>8</v>
      </c>
      <c r="S31" s="1502" t="e">
        <f t="shared" si="12"/>
        <v>#N/A</v>
      </c>
      <c r="T31" s="1501" t="s">
        <v>8</v>
      </c>
      <c r="U31" s="1502" t="e">
        <f t="shared" si="13"/>
        <v>#N/A</v>
      </c>
      <c r="V31" s="1501" t="s">
        <v>8</v>
      </c>
      <c r="W31" s="1502" t="e">
        <f t="shared" si="14"/>
        <v>#N/A</v>
      </c>
      <c r="X31" s="1503"/>
      <c r="Y31" s="3615"/>
      <c r="Z31" s="1131" t="str">
        <f t="shared" si="15"/>
        <v>停车位面积</v>
      </c>
      <c r="AA31" s="1504" t="e">
        <f t="shared" si="3"/>
        <v>#N/A</v>
      </c>
      <c r="AB31" s="1504" t="e">
        <f t="shared" si="4"/>
        <v>#N/A</v>
      </c>
      <c r="AC31" s="1504"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2"/>
      <c r="M32" s="2014"/>
      <c r="N32" s="2014"/>
      <c r="O32" s="2021"/>
      <c r="P32" s="3615" t="s">
        <v>542</v>
      </c>
      <c r="Q32" s="1505" t="str">
        <f t="shared" si="11"/>
        <v>车位类型</v>
      </c>
      <c r="R32" s="1506" t="s">
        <v>8</v>
      </c>
      <c r="S32" s="1507">
        <f t="shared" si="12"/>
        <v>100</v>
      </c>
      <c r="T32" s="1506" t="s">
        <v>8</v>
      </c>
      <c r="U32" s="1507">
        <f t="shared" si="13"/>
        <v>100</v>
      </c>
      <c r="V32" s="1506" t="s">
        <v>8</v>
      </c>
      <c r="W32" s="1507">
        <f t="shared" si="14"/>
        <v>100</v>
      </c>
      <c r="X32" s="1500"/>
      <c r="Y32" s="3615" t="s">
        <v>542</v>
      </c>
      <c r="Z32" s="1508" t="str">
        <f t="shared" si="15"/>
        <v>车位类型</v>
      </c>
      <c r="AA32" s="1509">
        <f t="shared" si="3"/>
        <v>1</v>
      </c>
      <c r="AB32" s="1509">
        <f t="shared" si="4"/>
        <v>1</v>
      </c>
      <c r="AC32" s="1509">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2"/>
      <c r="M33" s="2014"/>
      <c r="N33" s="2014"/>
      <c r="O33" s="2021"/>
      <c r="P33" s="3615"/>
      <c r="Q33" s="1505" t="str">
        <f t="shared" si="11"/>
        <v>是否直接入户</v>
      </c>
      <c r="R33" s="1506" t="s">
        <v>8</v>
      </c>
      <c r="S33" s="1507">
        <f t="shared" si="12"/>
        <v>100</v>
      </c>
      <c r="T33" s="1506" t="s">
        <v>8</v>
      </c>
      <c r="U33" s="1507">
        <f t="shared" si="13"/>
        <v>100</v>
      </c>
      <c r="V33" s="1506" t="s">
        <v>8</v>
      </c>
      <c r="W33" s="1507">
        <f t="shared" si="14"/>
        <v>100</v>
      </c>
      <c r="X33" s="1500"/>
      <c r="Y33" s="3615"/>
      <c r="Z33" s="1508" t="str">
        <f t="shared" si="15"/>
        <v>是否直接入户</v>
      </c>
      <c r="AA33" s="1509">
        <f t="shared" si="3"/>
        <v>1</v>
      </c>
      <c r="AB33" s="1509">
        <f t="shared" si="4"/>
        <v>1</v>
      </c>
      <c r="AC33" s="1509">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2"/>
      <c r="M34" s="2014"/>
      <c r="N34" s="2014"/>
      <c r="O34" s="2021"/>
      <c r="P34" s="3615"/>
      <c r="Q34" s="1505">
        <f t="shared" si="11"/>
        <v>111</v>
      </c>
      <c r="R34" s="1506" t="s">
        <v>8</v>
      </c>
      <c r="S34" s="1507">
        <f t="shared" si="12"/>
        <v>100</v>
      </c>
      <c r="T34" s="1506" t="s">
        <v>8</v>
      </c>
      <c r="U34" s="1507">
        <f t="shared" si="13"/>
        <v>100</v>
      </c>
      <c r="V34" s="1506" t="s">
        <v>8</v>
      </c>
      <c r="W34" s="1507">
        <f t="shared" si="14"/>
        <v>100</v>
      </c>
      <c r="X34" s="1500"/>
      <c r="Y34" s="3615"/>
      <c r="Z34" s="1508">
        <f t="shared" si="15"/>
        <v>111</v>
      </c>
      <c r="AA34" s="1509">
        <f t="shared" si="3"/>
        <v>1</v>
      </c>
      <c r="AB34" s="1509">
        <f t="shared" si="4"/>
        <v>1</v>
      </c>
      <c r="AC34" s="1509">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20"/>
      <c r="M35" s="2050"/>
      <c r="N35" s="2050"/>
      <c r="O35" s="2023"/>
      <c r="P35" s="3615"/>
      <c r="Q35" s="1534">
        <f t="shared" si="11"/>
        <v>111</v>
      </c>
      <c r="R35" s="1510" t="s">
        <v>8</v>
      </c>
      <c r="S35" s="1511">
        <f t="shared" si="12"/>
        <v>100</v>
      </c>
      <c r="T35" s="1510" t="s">
        <v>8</v>
      </c>
      <c r="U35" s="1511">
        <f t="shared" si="13"/>
        <v>100</v>
      </c>
      <c r="V35" s="1510" t="s">
        <v>8</v>
      </c>
      <c r="W35" s="1511">
        <f t="shared" si="14"/>
        <v>100</v>
      </c>
      <c r="X35" s="1512"/>
      <c r="Y35" s="3615"/>
      <c r="Z35" s="1513">
        <f t="shared" si="15"/>
        <v>111</v>
      </c>
      <c r="AA35" s="1509">
        <f t="shared" si="3"/>
        <v>1</v>
      </c>
      <c r="AB35" s="1509">
        <f t="shared" si="4"/>
        <v>1</v>
      </c>
      <c r="AC35" s="1509">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2"/>
      <c r="M36" s="2014"/>
      <c r="N36" s="2014"/>
      <c r="O36" s="2021"/>
      <c r="P36" s="3615"/>
      <c r="Q36" s="1505">
        <f t="shared" si="11"/>
        <v>111</v>
      </c>
      <c r="R36" s="1506" t="s">
        <v>8</v>
      </c>
      <c r="S36" s="1507">
        <f t="shared" si="12"/>
        <v>100</v>
      </c>
      <c r="T36" s="1506" t="s">
        <v>8</v>
      </c>
      <c r="U36" s="1507">
        <f t="shared" si="13"/>
        <v>100</v>
      </c>
      <c r="V36" s="1506" t="s">
        <v>8</v>
      </c>
      <c r="W36" s="1507">
        <f t="shared" si="14"/>
        <v>100</v>
      </c>
      <c r="X36" s="1500"/>
      <c r="Y36" s="3615"/>
      <c r="Z36" s="1508">
        <f t="shared" si="15"/>
        <v>111</v>
      </c>
      <c r="AA36" s="1509">
        <f t="shared" si="3"/>
        <v>1</v>
      </c>
      <c r="AB36" s="1509">
        <f t="shared" si="4"/>
        <v>1</v>
      </c>
      <c r="AC36" s="1509">
        <f t="shared" si="5"/>
        <v>1</v>
      </c>
    </row>
    <row r="37" spans="1:29" ht="15">
      <c r="A37" s="1758" t="s">
        <v>2063</v>
      </c>
      <c r="B37" s="1759" t="s">
        <v>2064</v>
      </c>
      <c r="C37" s="2468" t="s">
        <v>1</v>
      </c>
      <c r="D37" s="2469"/>
      <c r="E37" s="2470"/>
      <c r="F37" s="2471"/>
      <c r="G37" s="2472"/>
      <c r="H37" s="2473"/>
      <c r="I37" s="2470"/>
      <c r="J37" s="2473"/>
      <c r="K37" s="1539"/>
      <c r="L37" s="2024"/>
      <c r="M37" s="2025"/>
      <c r="N37" s="2014"/>
      <c r="O37" s="2025"/>
      <c r="P37" s="3578" t="str">
        <f>A37</f>
        <v>成交单价</v>
      </c>
      <c r="Q37" s="3578"/>
      <c r="R37" s="3694">
        <f>E37</f>
        <v>0</v>
      </c>
      <c r="S37" s="3694"/>
      <c r="T37" s="3694">
        <f>G37</f>
        <v>0</v>
      </c>
      <c r="U37" s="3694"/>
      <c r="V37" s="3694">
        <f>I37</f>
        <v>0</v>
      </c>
      <c r="W37" s="3694"/>
      <c r="X37" s="1495"/>
      <c r="Y37" s="1514"/>
      <c r="Z37" s="1495"/>
      <c r="AA37" s="1495"/>
      <c r="AB37" s="1495"/>
      <c r="AC37" s="1495"/>
    </row>
    <row r="38" spans="1:29" ht="15.75" thickBot="1">
      <c r="A38" s="607" t="s">
        <v>2738</v>
      </c>
      <c r="B38" s="875"/>
      <c r="C38" s="2474" t="e">
        <f>R39</f>
        <v>#DIV/0!</v>
      </c>
      <c r="D38" s="3012" t="s">
        <v>2963</v>
      </c>
      <c r="E38" s="2475" t="e">
        <f>R38</f>
        <v>#DIV/0!</v>
      </c>
      <c r="F38" s="3013"/>
      <c r="G38" s="2474" t="e">
        <f>T38</f>
        <v>#DIV/0!</v>
      </c>
      <c r="H38" s="3013"/>
      <c r="I38" s="2475" t="e">
        <f>V38</f>
        <v>#DIV/0!</v>
      </c>
      <c r="J38" s="3013"/>
      <c r="K38" s="3021">
        <f>F38+H38+J38</f>
        <v>0</v>
      </c>
      <c r="L38" s="2024"/>
      <c r="M38" s="2025"/>
      <c r="N38" s="2025"/>
      <c r="O38" s="2025"/>
      <c r="P38" s="3578" t="str">
        <f>A38</f>
        <v>比较价格（元/平方米）</v>
      </c>
      <c r="Q38" s="3578"/>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1495"/>
      <c r="Y38" s="1495"/>
      <c r="Z38" s="1495"/>
      <c r="AA38" s="1495"/>
      <c r="AB38" s="1495"/>
      <c r="AC38" s="1495"/>
    </row>
    <row r="39" spans="1:29" ht="15.75" thickBot="1">
      <c r="A39" s="611" t="s">
        <v>2898</v>
      </c>
      <c r="B39" s="612"/>
      <c r="C39" s="2476" t="e">
        <f>R39</f>
        <v>#DIV/0!</v>
      </c>
      <c r="D39" s="2476"/>
      <c r="E39" s="2476"/>
      <c r="F39" s="2476"/>
      <c r="G39" s="2476"/>
      <c r="H39" s="2476"/>
      <c r="I39" s="2476"/>
      <c r="J39" s="2476"/>
      <c r="K39" s="1540"/>
      <c r="L39" s="2024"/>
      <c r="M39" s="2025"/>
      <c r="N39" s="2025"/>
      <c r="O39" s="2025"/>
      <c r="P39" s="3575" t="str">
        <f>A39</f>
        <v>估价对象XX用房的比较价格（楼面单价，元/平方米）</v>
      </c>
      <c r="Q39" s="3576"/>
      <c r="R39" s="3693" t="e">
        <f>IF(F1="售价",ROUND(IF(D38="简单平均",AVERAGE(R38:W38),R38*F38+T38*H38+V38*J38),0),ROUND(IF(D38="简单平均",AVERAGE(R38:V38),R38*F38+T38*H38+V38*J38),1))</f>
        <v>#DIV/0!</v>
      </c>
      <c r="S39" s="3693"/>
      <c r="T39" s="3693"/>
      <c r="U39" s="3693"/>
      <c r="V39" s="3693"/>
      <c r="W39" s="3693"/>
      <c r="X39" s="1495"/>
      <c r="Y39" s="1495"/>
      <c r="Z39" s="1495"/>
      <c r="AA39" s="1495"/>
      <c r="AB39" s="1495"/>
      <c r="AC39" s="1495"/>
    </row>
    <row r="40" spans="1:29">
      <c r="A40" s="3210"/>
      <c r="B40" s="3210"/>
      <c r="C40" s="3210"/>
      <c r="D40" s="3210"/>
      <c r="E40" s="3210"/>
      <c r="F40" s="3210"/>
      <c r="G40" s="3212"/>
      <c r="H40" s="3210"/>
      <c r="I40" s="3210"/>
      <c r="J40" s="3210"/>
      <c r="K40" s="3213"/>
      <c r="L40" s="2029"/>
      <c r="M40" s="2025"/>
      <c r="N40" s="2025"/>
      <c r="O40" s="2025"/>
      <c r="P40" s="2025"/>
      <c r="Q40" s="2025"/>
      <c r="R40" s="2025"/>
      <c r="S40" s="2025"/>
      <c r="T40" s="2025"/>
      <c r="U40" s="2025"/>
      <c r="V40" s="2025"/>
      <c r="W40" s="2025"/>
      <c r="X40" s="2025"/>
      <c r="Y40" s="2025"/>
      <c r="Z40" s="2025"/>
      <c r="AA40" s="2025"/>
      <c r="AB40" s="2025"/>
      <c r="AC40" s="2025"/>
    </row>
    <row r="41" spans="1:29">
      <c r="A41" s="3210"/>
      <c r="B41" s="3210"/>
      <c r="C41" s="3210"/>
      <c r="D41" s="3210"/>
      <c r="E41" s="3210"/>
      <c r="F41" s="3210"/>
      <c r="G41" s="3210"/>
      <c r="H41" s="3210"/>
      <c r="I41" s="3210"/>
      <c r="J41" s="3210"/>
      <c r="K41" s="3213"/>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0"/>
      <c r="B42" s="3210"/>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13"/>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0"/>
      <c r="B43" s="3210"/>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13"/>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1"/>
      <c r="B44" s="3211"/>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4"/>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566</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5" t="s">
        <v>521</v>
      </c>
      <c r="B48" s="636"/>
      <c r="C48" s="2517" t="str">
        <f>YEAR(C7)&amp;"-"&amp;MONTH(C7)</f>
        <v>2021-8</v>
      </c>
      <c r="D48" s="2519">
        <f>EDATE(C48,-1)</f>
        <v>44378</v>
      </c>
      <c r="E48" s="2519">
        <f t="shared" ref="E48:O48" si="16">EDATE(D48,-1)</f>
        <v>44348</v>
      </c>
      <c r="F48" s="2519">
        <f t="shared" si="16"/>
        <v>44317</v>
      </c>
      <c r="G48" s="2519">
        <f t="shared" si="16"/>
        <v>44287</v>
      </c>
      <c r="H48" s="2519">
        <f t="shared" si="16"/>
        <v>44256</v>
      </c>
      <c r="I48" s="2519">
        <f t="shared" si="16"/>
        <v>44228</v>
      </c>
      <c r="J48" s="2519">
        <f t="shared" si="16"/>
        <v>44197</v>
      </c>
      <c r="K48" s="2519">
        <f t="shared" si="16"/>
        <v>44166</v>
      </c>
      <c r="L48" s="2519">
        <f t="shared" si="16"/>
        <v>44136</v>
      </c>
      <c r="M48" s="2519">
        <f t="shared" si="16"/>
        <v>44105</v>
      </c>
      <c r="N48" s="2519">
        <f t="shared" si="16"/>
        <v>44075</v>
      </c>
      <c r="O48" s="2519">
        <f t="shared" si="16"/>
        <v>44044</v>
      </c>
      <c r="P48" s="2039"/>
      <c r="Q48" s="2040"/>
      <c r="R48" s="2040"/>
      <c r="S48" s="2040"/>
      <c r="T48" s="2040"/>
      <c r="U48" s="2040"/>
      <c r="V48" s="2040"/>
      <c r="W48" s="2040"/>
      <c r="X48" s="2040"/>
      <c r="Y48" s="2040"/>
      <c r="Z48" s="2040"/>
      <c r="AA48" s="2040"/>
      <c r="AB48" s="2040"/>
      <c r="AC48" s="2040"/>
    </row>
    <row r="49" spans="1:29" s="1201" customFormat="1" ht="15">
      <c r="A49" s="637"/>
      <c r="B49" s="638"/>
      <c r="C49" s="2518">
        <v>100</v>
      </c>
      <c r="D49" s="640"/>
      <c r="E49" s="640"/>
      <c r="F49" s="640"/>
      <c r="G49" s="640"/>
      <c r="H49" s="640"/>
      <c r="I49" s="640"/>
      <c r="J49" s="640"/>
      <c r="K49" s="640"/>
      <c r="L49" s="640"/>
      <c r="M49" s="641"/>
      <c r="N49" s="640"/>
      <c r="O49" s="642"/>
      <c r="P49" s="2037"/>
      <c r="Q49" s="1903"/>
      <c r="R49" s="1903"/>
      <c r="S49" s="1903"/>
      <c r="T49" s="1903"/>
      <c r="U49" s="1903"/>
      <c r="V49" s="1903"/>
      <c r="W49" s="1903"/>
      <c r="X49" s="1903"/>
      <c r="Y49" s="1903"/>
      <c r="Z49" s="1903"/>
      <c r="AA49" s="1903"/>
      <c r="AB49" s="1903"/>
      <c r="AC49" s="1903"/>
    </row>
    <row r="50" spans="1:29" s="1201" customFormat="1" ht="15.75" thickBot="1">
      <c r="A50" s="643" t="s">
        <v>567</v>
      </c>
      <c r="B50" s="644"/>
      <c r="C50" s="645"/>
      <c r="D50" s="646"/>
      <c r="E50" s="646"/>
      <c r="F50" s="646"/>
      <c r="G50" s="646"/>
      <c r="H50" s="646"/>
      <c r="I50" s="646"/>
      <c r="J50" s="646"/>
      <c r="K50" s="646"/>
      <c r="L50" s="646"/>
      <c r="M50" s="647"/>
      <c r="N50" s="646"/>
      <c r="O50" s="648"/>
      <c r="P50" s="2037"/>
      <c r="Q50" s="2037"/>
      <c r="R50" s="1903"/>
      <c r="S50" s="1903"/>
      <c r="T50" s="1903"/>
      <c r="U50" s="1903"/>
      <c r="V50" s="1903"/>
      <c r="W50" s="1903"/>
      <c r="X50" s="1903"/>
      <c r="Y50" s="1903"/>
      <c r="Z50" s="1903"/>
      <c r="AA50" s="1903"/>
      <c r="AB50" s="1903"/>
      <c r="AC50" s="1903"/>
    </row>
    <row r="51" spans="1:29" s="1201" customFormat="1" ht="15">
      <c r="A51" s="649" t="s">
        <v>523</v>
      </c>
      <c r="B51" s="638"/>
      <c r="C51" s="650" t="s">
        <v>568</v>
      </c>
      <c r="D51" s="651"/>
      <c r="E51" s="651"/>
      <c r="F51" s="651"/>
      <c r="G51" s="651"/>
      <c r="H51" s="651"/>
      <c r="I51" s="651"/>
      <c r="J51" s="651"/>
      <c r="K51" s="651"/>
      <c r="L51" s="652"/>
      <c r="M51" s="653"/>
      <c r="N51" s="2041"/>
      <c r="O51" s="2041"/>
      <c r="P51" s="2042"/>
      <c r="Q51" s="2037"/>
      <c r="R51" s="1903"/>
      <c r="S51" s="1903"/>
      <c r="T51" s="1903"/>
      <c r="U51" s="1903"/>
      <c r="V51" s="1903"/>
      <c r="W51" s="1903"/>
      <c r="X51" s="1903"/>
      <c r="Y51" s="1903"/>
      <c r="Z51" s="1903"/>
      <c r="AA51" s="1903"/>
      <c r="AB51" s="1903"/>
      <c r="AC51" s="1903"/>
    </row>
    <row r="52" spans="1:29" s="1201" customFormat="1" ht="15.75" thickBot="1">
      <c r="A52" s="649"/>
      <c r="B52" s="638"/>
      <c r="C52" s="639">
        <v>100</v>
      </c>
      <c r="D52" s="640"/>
      <c r="E52" s="640"/>
      <c r="F52" s="640"/>
      <c r="G52" s="640"/>
      <c r="H52" s="640"/>
      <c r="I52" s="640"/>
      <c r="J52" s="640"/>
      <c r="K52" s="640"/>
      <c r="L52" s="640"/>
      <c r="M52" s="642"/>
      <c r="N52" s="2041"/>
      <c r="O52" s="2041"/>
      <c r="P52" s="2037"/>
      <c r="Q52" s="2037"/>
      <c r="R52" s="1903"/>
      <c r="S52" s="1903"/>
      <c r="T52" s="1903"/>
      <c r="U52" s="1903"/>
      <c r="V52" s="1903"/>
      <c r="W52" s="1903"/>
      <c r="X52" s="1903"/>
      <c r="Y52" s="1903"/>
      <c r="Z52" s="1903"/>
      <c r="AA52" s="1903"/>
      <c r="AB52" s="1903"/>
      <c r="AC52" s="1903"/>
    </row>
    <row r="53" spans="1:29">
      <c r="A53" s="654" t="s">
        <v>569</v>
      </c>
      <c r="B53" s="655" t="s">
        <v>526</v>
      </c>
      <c r="C53" s="694">
        <f>C9</f>
        <v>0</v>
      </c>
      <c r="D53" s="590"/>
      <c r="E53" s="590"/>
      <c r="F53" s="590"/>
      <c r="G53" s="590"/>
      <c r="H53" s="590"/>
      <c r="I53" s="590"/>
      <c r="J53" s="590"/>
      <c r="K53" s="656"/>
      <c r="L53" s="657"/>
      <c r="M53" s="658"/>
      <c r="N53" s="2043"/>
      <c r="O53" s="2043"/>
      <c r="P53" s="2044"/>
      <c r="Q53" s="2037"/>
      <c r="R53" s="2025"/>
      <c r="S53" s="2025"/>
      <c r="T53" s="2025"/>
      <c r="U53" s="2025"/>
      <c r="V53" s="2025"/>
      <c r="W53" s="2025"/>
      <c r="X53" s="2025"/>
      <c r="Y53" s="2025"/>
      <c r="Z53" s="2025"/>
      <c r="AA53" s="2025"/>
      <c r="AB53" s="2025"/>
      <c r="AC53" s="2025"/>
    </row>
    <row r="54" spans="1:29" ht="15.75" thickBot="1">
      <c r="A54" s="659"/>
      <c r="B54" s="660"/>
      <c r="C54" s="661"/>
      <c r="D54" s="661"/>
      <c r="E54" s="661"/>
      <c r="F54" s="661"/>
      <c r="G54" s="661"/>
      <c r="H54" s="661"/>
      <c r="I54" s="661"/>
      <c r="J54" s="661"/>
      <c r="K54" s="661"/>
      <c r="L54" s="661"/>
      <c r="M54" s="662"/>
      <c r="N54" s="2045"/>
      <c r="O54" s="2045"/>
      <c r="P54" s="2044"/>
      <c r="Q54" s="2037"/>
      <c r="R54" s="2025"/>
      <c r="S54" s="2025"/>
      <c r="T54" s="2025"/>
      <c r="U54" s="2025"/>
      <c r="V54" s="2025"/>
      <c r="W54" s="2025"/>
      <c r="X54" s="2025"/>
      <c r="Y54" s="2025"/>
      <c r="Z54" s="2025"/>
      <c r="AA54" s="2025"/>
      <c r="AB54" s="2025"/>
      <c r="AC54" s="2025"/>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3"/>
      <c r="O55" s="2043"/>
      <c r="P55" s="2044"/>
      <c r="Q55" s="2037"/>
      <c r="R55" s="2025"/>
      <c r="S55" s="2025"/>
      <c r="T55" s="2025"/>
      <c r="U55" s="2025"/>
      <c r="V55" s="2025"/>
      <c r="W55" s="2025"/>
      <c r="X55" s="2025"/>
      <c r="Y55" s="2025"/>
      <c r="Z55" s="2025"/>
      <c r="AA55" s="2025"/>
      <c r="AB55" s="2025"/>
      <c r="AC55" s="20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5"/>
      <c r="O56" s="2045"/>
      <c r="P56" s="2044"/>
      <c r="Q56" s="2037"/>
      <c r="R56" s="2025"/>
      <c r="S56" s="2025"/>
      <c r="T56" s="2025"/>
      <c r="U56" s="2025"/>
      <c r="V56" s="2025"/>
      <c r="W56" s="2025"/>
      <c r="X56" s="2025"/>
      <c r="Y56" s="2025"/>
      <c r="Z56" s="2025"/>
      <c r="AA56" s="2025"/>
      <c r="AB56" s="2025"/>
      <c r="AC56" s="2025"/>
    </row>
    <row r="57" spans="1:29" ht="15.75" thickTop="1">
      <c r="A57" s="659"/>
      <c r="B57" s="922">
        <f>B11</f>
        <v>111</v>
      </c>
      <c r="C57" s="533"/>
      <c r="D57" s="533"/>
      <c r="E57" s="533"/>
      <c r="F57" s="533"/>
      <c r="G57" s="533"/>
      <c r="H57" s="533"/>
      <c r="I57" s="533"/>
      <c r="J57" s="533"/>
      <c r="K57" s="674"/>
      <c r="L57" s="675"/>
      <c r="M57" s="676"/>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82"/>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7"/>
      <c r="B59" s="663">
        <f>B12</f>
        <v>111</v>
      </c>
      <c r="C59" s="533"/>
      <c r="D59" s="533"/>
      <c r="E59" s="533"/>
      <c r="F59" s="533"/>
      <c r="G59" s="678"/>
      <c r="H59" s="679"/>
      <c r="I59" s="679"/>
      <c r="J59" s="679"/>
      <c r="K59" s="679"/>
      <c r="L59" s="680"/>
      <c r="M59" s="681"/>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7"/>
      <c r="B60" s="668"/>
      <c r="C60" s="682"/>
      <c r="D60" s="661"/>
      <c r="E60" s="661"/>
      <c r="F60" s="661"/>
      <c r="G60" s="661"/>
      <c r="H60" s="661"/>
      <c r="I60" s="661"/>
      <c r="J60" s="661"/>
      <c r="K60" s="661"/>
      <c r="L60" s="661"/>
      <c r="M60" s="662"/>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7"/>
      <c r="B61" s="663">
        <f>B13</f>
        <v>111</v>
      </c>
      <c r="C61" s="678"/>
      <c r="D61" s="678"/>
      <c r="E61" s="678"/>
      <c r="F61" s="678"/>
      <c r="G61" s="678"/>
      <c r="H61" s="679"/>
      <c r="I61" s="679"/>
      <c r="J61" s="679"/>
      <c r="K61" s="679"/>
      <c r="L61" s="680"/>
      <c r="M61" s="681"/>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7"/>
      <c r="B62" s="668"/>
      <c r="C62" s="682"/>
      <c r="D62" s="682"/>
      <c r="E62" s="682"/>
      <c r="F62" s="682"/>
      <c r="G62" s="682"/>
      <c r="H62" s="683"/>
      <c r="I62" s="683"/>
      <c r="J62" s="683"/>
      <c r="K62" s="683"/>
      <c r="L62" s="683"/>
      <c r="M62" s="684"/>
      <c r="N62" s="2046"/>
      <c r="O62" s="2046"/>
      <c r="P62" s="2047"/>
      <c r="Q62" s="2048"/>
      <c r="R62" s="2049"/>
      <c r="S62" s="2049"/>
      <c r="T62" s="2049"/>
      <c r="U62" s="2049"/>
      <c r="V62" s="2049"/>
      <c r="W62" s="2049"/>
      <c r="X62" s="2049"/>
      <c r="Y62" s="2049"/>
      <c r="Z62" s="2049"/>
      <c r="AA62" s="2049"/>
      <c r="AB62" s="2049"/>
      <c r="AC62" s="2049"/>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3"/>
      <c r="O63" s="2043"/>
      <c r="P63" s="2053"/>
      <c r="Q63" s="2037"/>
      <c r="R63" s="2025"/>
      <c r="S63" s="2025"/>
      <c r="T63" s="2025"/>
      <c r="U63" s="2025"/>
      <c r="V63" s="2025"/>
      <c r="W63" s="2025"/>
      <c r="X63" s="2025"/>
      <c r="Y63" s="2025"/>
      <c r="Z63" s="2025"/>
      <c r="AA63" s="2025"/>
      <c r="AB63" s="2025"/>
      <c r="AC63" s="20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1808" t="s">
        <v>2536</v>
      </c>
      <c r="C65" s="698" t="s">
        <v>571</v>
      </c>
      <c r="D65" s="698" t="s">
        <v>572</v>
      </c>
      <c r="E65" s="698" t="s">
        <v>573</v>
      </c>
      <c r="F65" s="698" t="s">
        <v>574</v>
      </c>
      <c r="G65" s="698" t="s">
        <v>575</v>
      </c>
      <c r="H65" s="664"/>
      <c r="I65" s="664"/>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2439" t="s">
        <v>2537</v>
      </c>
      <c r="C67" s="2440" t="s">
        <v>2538</v>
      </c>
      <c r="D67" s="2440" t="s">
        <v>2539</v>
      </c>
      <c r="E67" s="2440" t="s">
        <v>2540</v>
      </c>
      <c r="F67" s="2440" t="s">
        <v>2541</v>
      </c>
      <c r="G67" s="2440" t="s">
        <v>2542</v>
      </c>
      <c r="H67" s="664"/>
      <c r="I67" s="664"/>
      <c r="J67" s="664"/>
      <c r="K67" s="664"/>
      <c r="L67" s="664"/>
      <c r="M67" s="2443"/>
      <c r="N67" s="2045"/>
      <c r="O67" s="2045"/>
      <c r="P67" s="2044"/>
      <c r="Q67" s="2037"/>
      <c r="R67" s="2025"/>
      <c r="S67" s="2025"/>
      <c r="T67" s="2025"/>
      <c r="U67" s="2025"/>
      <c r="V67" s="2025"/>
      <c r="W67" s="2025"/>
      <c r="X67" s="2025"/>
      <c r="Y67" s="2025"/>
      <c r="Z67" s="2025"/>
      <c r="AA67" s="2025"/>
      <c r="AB67" s="2025"/>
      <c r="AC67" s="2025"/>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736</v>
      </c>
      <c r="C69" s="698" t="s">
        <v>571</v>
      </c>
      <c r="D69" s="698" t="s">
        <v>572</v>
      </c>
      <c r="E69" s="698" t="s">
        <v>573</v>
      </c>
      <c r="F69" s="698" t="s">
        <v>574</v>
      </c>
      <c r="G69" s="698" t="s">
        <v>575</v>
      </c>
      <c r="H69" s="664"/>
      <c r="I69" s="664"/>
      <c r="J69" s="664"/>
      <c r="K69" s="665"/>
      <c r="L69" s="666"/>
      <c r="M69" s="667"/>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ht="15.75" thickTop="1">
      <c r="A71" s="659"/>
      <c r="B71" s="663" t="s">
        <v>737</v>
      </c>
      <c r="C71" s="678"/>
      <c r="D71" s="678"/>
      <c r="E71" s="678"/>
      <c r="F71" s="678"/>
      <c r="G71" s="678"/>
      <c r="H71" s="708"/>
      <c r="I71" s="708"/>
      <c r="J71" s="708"/>
      <c r="K71" s="709"/>
      <c r="L71" s="710"/>
      <c r="M71" s="711"/>
      <c r="N71" s="2043"/>
      <c r="O71" s="2043"/>
      <c r="P71" s="2044"/>
      <c r="Q71" s="2037"/>
      <c r="R71" s="2025"/>
      <c r="S71" s="2025"/>
      <c r="T71" s="2025"/>
      <c r="U71" s="2025"/>
      <c r="V71" s="2025"/>
      <c r="W71" s="2025"/>
      <c r="X71" s="2025"/>
      <c r="Y71" s="2025"/>
      <c r="Z71" s="2025"/>
      <c r="AA71" s="2025"/>
      <c r="AB71" s="2025"/>
      <c r="AC71" s="20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5"/>
      <c r="O72" s="2045"/>
      <c r="P72" s="2044"/>
      <c r="Q72" s="2037"/>
      <c r="R72" s="2025"/>
      <c r="S72" s="2025"/>
      <c r="T72" s="2025"/>
      <c r="U72" s="2025"/>
      <c r="V72" s="2025"/>
      <c r="W72" s="2025"/>
      <c r="X72" s="2025"/>
      <c r="Y72" s="2025"/>
      <c r="Z72" s="2025"/>
      <c r="AA72" s="2025"/>
      <c r="AB72" s="2025"/>
      <c r="AC72" s="2025"/>
    </row>
    <row r="73" spans="1:29" s="1201" customFormat="1" ht="15.75" thickTop="1">
      <c r="A73" s="699"/>
      <c r="B73" s="663">
        <f>B23</f>
        <v>111</v>
      </c>
      <c r="C73" s="533"/>
      <c r="D73" s="533"/>
      <c r="E73" s="533"/>
      <c r="F73" s="533"/>
      <c r="G73" s="678"/>
      <c r="H73" s="678"/>
      <c r="I73" s="678"/>
      <c r="J73" s="678"/>
      <c r="K73" s="678"/>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01" customFormat="1" ht="15.75" thickTop="1">
      <c r="A75" s="699"/>
      <c r="B75" s="663">
        <f>B24</f>
        <v>111</v>
      </c>
      <c r="C75" s="533"/>
      <c r="D75" s="533"/>
      <c r="E75" s="533"/>
      <c r="F75" s="533"/>
      <c r="G75" s="678"/>
      <c r="H75" s="678"/>
      <c r="I75" s="678"/>
      <c r="J75" s="678"/>
      <c r="K75" s="678"/>
      <c r="L75" s="678"/>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699"/>
      <c r="B76" s="668"/>
      <c r="C76" s="682"/>
      <c r="D76" s="661"/>
      <c r="E76" s="661"/>
      <c r="F76" s="661"/>
      <c r="G76" s="661"/>
      <c r="H76" s="661"/>
      <c r="I76" s="661"/>
      <c r="J76" s="661"/>
      <c r="K76" s="661"/>
      <c r="L76" s="661"/>
      <c r="M76" s="662"/>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7"/>
      <c r="B77" s="663">
        <f>B25</f>
        <v>111</v>
      </c>
      <c r="C77" s="678"/>
      <c r="D77" s="678"/>
      <c r="E77" s="678"/>
      <c r="F77" s="678"/>
      <c r="G77" s="678"/>
      <c r="H77" s="679"/>
      <c r="I77" s="679"/>
      <c r="J77" s="679"/>
      <c r="K77" s="679"/>
      <c r="L77" s="680"/>
      <c r="M77" s="681"/>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7"/>
      <c r="B78" s="668"/>
      <c r="C78" s="682"/>
      <c r="D78" s="682"/>
      <c r="E78" s="682"/>
      <c r="F78" s="682"/>
      <c r="G78" s="661"/>
      <c r="H78" s="661"/>
      <c r="I78" s="661"/>
      <c r="J78" s="661"/>
      <c r="K78" s="661"/>
      <c r="L78" s="661"/>
      <c r="M78" s="662"/>
      <c r="N78" s="2046"/>
      <c r="O78" s="2046"/>
      <c r="P78" s="2047"/>
      <c r="Q78" s="2048"/>
      <c r="R78" s="2049"/>
      <c r="S78" s="2049"/>
      <c r="T78" s="2049"/>
      <c r="U78" s="2049"/>
      <c r="V78" s="2049"/>
      <c r="W78" s="2049"/>
      <c r="X78" s="2049"/>
      <c r="Y78" s="2049"/>
      <c r="Z78" s="2049"/>
      <c r="AA78" s="2049"/>
      <c r="AB78" s="2049"/>
      <c r="AC78" s="2049"/>
    </row>
    <row r="79" spans="1:29" ht="27.75" thickTop="1">
      <c r="A79" s="654" t="s">
        <v>543</v>
      </c>
      <c r="B79" s="655" t="s">
        <v>806</v>
      </c>
      <c r="C79" s="694">
        <f>C26</f>
        <v>0</v>
      </c>
      <c r="D79" s="590"/>
      <c r="E79" s="590"/>
      <c r="F79" s="590"/>
      <c r="G79" s="590"/>
      <c r="H79" s="590"/>
      <c r="I79" s="590"/>
      <c r="J79" s="590"/>
      <c r="K79" s="656"/>
      <c r="L79" s="657"/>
      <c r="M79" s="658"/>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59"/>
      <c r="B81" s="663" t="s">
        <v>807</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7"/>
      <c r="B82" s="668"/>
      <c r="C82" s="682"/>
      <c r="D82" s="661"/>
      <c r="E82" s="661"/>
      <c r="F82" s="661"/>
      <c r="G82" s="661"/>
      <c r="H82" s="661"/>
      <c r="I82" s="661"/>
      <c r="J82" s="661"/>
      <c r="K82" s="661"/>
      <c r="L82" s="661"/>
      <c r="M82" s="662"/>
      <c r="N82" s="2045"/>
      <c r="O82" s="2045"/>
      <c r="P82" s="2047"/>
      <c r="Q82" s="2048"/>
      <c r="R82" s="2049"/>
      <c r="S82" s="2049"/>
      <c r="T82" s="2049"/>
      <c r="U82" s="2049"/>
      <c r="V82" s="2049"/>
      <c r="W82" s="2049"/>
      <c r="X82" s="2049"/>
      <c r="Y82" s="2049"/>
      <c r="Z82" s="2049"/>
      <c r="AA82" s="2049"/>
      <c r="AB82" s="2049"/>
      <c r="AC82" s="2049"/>
    </row>
    <row r="83" spans="1:29" ht="15" thickTop="1">
      <c r="A83" s="725"/>
      <c r="B83" s="663" t="s">
        <v>743</v>
      </c>
      <c r="C83" s="678"/>
      <c r="D83" s="678"/>
      <c r="E83" s="708"/>
      <c r="F83" s="708"/>
      <c r="G83" s="708"/>
      <c r="H83" s="708"/>
      <c r="I83" s="708"/>
      <c r="J83" s="708"/>
      <c r="K83" s="709"/>
      <c r="L83" s="710"/>
      <c r="M83" s="711"/>
      <c r="N83" s="2043"/>
      <c r="O83" s="2043"/>
      <c r="P83" s="2044"/>
      <c r="Q83" s="2037"/>
      <c r="R83" s="2025"/>
      <c r="S83" s="2025"/>
      <c r="T83" s="2025"/>
      <c r="U83" s="2025"/>
      <c r="V83" s="2025"/>
      <c r="W83" s="2025"/>
      <c r="X83" s="2025"/>
      <c r="Y83" s="2025"/>
      <c r="Z83" s="2025"/>
      <c r="AA83" s="2025"/>
      <c r="AB83" s="2025"/>
      <c r="AC83" s="20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3"/>
      <c r="O85" s="2043"/>
      <c r="P85" s="2044"/>
      <c r="Q85" s="2037"/>
      <c r="R85" s="2025"/>
      <c r="S85" s="2025"/>
      <c r="T85" s="2025"/>
      <c r="U85" s="2025"/>
      <c r="V85" s="2025"/>
      <c r="W85" s="2025"/>
      <c r="X85" s="2025"/>
      <c r="Y85" s="2025"/>
      <c r="Z85" s="2025"/>
      <c r="AA85" s="2025"/>
      <c r="AB85" s="2025"/>
      <c r="AC85" s="2025"/>
    </row>
    <row r="86" spans="1:29">
      <c r="A86" s="725"/>
      <c r="B86" s="671"/>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5"/>
      <c r="B88" s="671" t="s">
        <v>809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8"/>
      <c r="B91" s="671"/>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6"/>
      <c r="O92" s="2046"/>
      <c r="P92" s="2047"/>
      <c r="Q92" s="2048"/>
      <c r="R92" s="2049"/>
      <c r="S92" s="2049"/>
      <c r="T92" s="2049"/>
      <c r="U92" s="2049"/>
      <c r="V92" s="2049"/>
      <c r="W92" s="2049"/>
      <c r="X92" s="2049"/>
      <c r="Y92" s="2049"/>
      <c r="Z92" s="2049"/>
      <c r="AA92" s="2049"/>
      <c r="AB92" s="2049"/>
      <c r="AC92" s="2049"/>
    </row>
    <row r="93" spans="1:29" ht="15" thickTop="1">
      <c r="A93" s="725"/>
      <c r="B93" s="663" t="s">
        <v>811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812</v>
      </c>
      <c r="C95" s="590"/>
      <c r="D95" s="590"/>
      <c r="E95" s="590"/>
      <c r="F95" s="590"/>
      <c r="G95" s="590"/>
      <c r="H95" s="590"/>
      <c r="I95" s="590"/>
      <c r="J95" s="590"/>
      <c r="K95" s="656"/>
      <c r="L95" s="657"/>
      <c r="M95" s="658"/>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5"/>
      <c r="O96" s="2045"/>
      <c r="P96" s="2044"/>
      <c r="Q96" s="2037"/>
      <c r="R96" s="2025"/>
      <c r="S96" s="2025"/>
      <c r="T96" s="2025"/>
      <c r="U96" s="2025"/>
      <c r="V96" s="2025"/>
      <c r="W96" s="2025"/>
      <c r="X96" s="2025"/>
      <c r="Y96" s="2025"/>
      <c r="Z96" s="2025"/>
      <c r="AA96" s="2025"/>
      <c r="AB96" s="2025"/>
      <c r="AC96" s="2025"/>
    </row>
    <row r="97" spans="1:29" ht="15" thickTop="1">
      <c r="A97" s="725"/>
      <c r="B97" s="904">
        <f>B34</f>
        <v>111</v>
      </c>
      <c r="C97" s="533"/>
      <c r="D97" s="533"/>
      <c r="E97" s="533"/>
      <c r="F97" s="533"/>
      <c r="G97" s="678"/>
      <c r="H97" s="679"/>
      <c r="I97" s="679"/>
      <c r="J97" s="679"/>
      <c r="K97" s="679"/>
      <c r="L97" s="680"/>
      <c r="M97" s="681"/>
      <c r="N97" s="2045"/>
      <c r="O97" s="2045"/>
      <c r="P97" s="2084"/>
      <c r="Q97" s="2085"/>
      <c r="R97" s="2025"/>
      <c r="S97" s="2025"/>
      <c r="T97" s="2025"/>
      <c r="U97" s="2025"/>
      <c r="V97" s="2025"/>
      <c r="W97" s="2025"/>
      <c r="X97" s="2025"/>
      <c r="Y97" s="2025"/>
      <c r="Z97" s="2025"/>
      <c r="AA97" s="2025"/>
      <c r="AB97" s="2025"/>
      <c r="AC97" s="2025"/>
    </row>
    <row r="98" spans="1:29" ht="15.75" thickBot="1">
      <c r="A98" s="659"/>
      <c r="B98" s="668"/>
      <c r="C98" s="682"/>
      <c r="D98" s="661"/>
      <c r="E98" s="661"/>
      <c r="F98" s="661"/>
      <c r="G98" s="682"/>
      <c r="H98" s="683"/>
      <c r="I98" s="683"/>
      <c r="J98" s="683"/>
      <c r="K98" s="683"/>
      <c r="L98" s="683"/>
      <c r="M98" s="684"/>
      <c r="N98" s="2045"/>
      <c r="O98" s="2045"/>
      <c r="P98" s="2044"/>
      <c r="Q98" s="2037"/>
      <c r="R98" s="2025"/>
      <c r="S98" s="2025"/>
      <c r="T98" s="2025"/>
      <c r="U98" s="2025"/>
      <c r="V98" s="2025"/>
      <c r="W98" s="2025"/>
      <c r="X98" s="2025"/>
      <c r="Y98" s="2025"/>
      <c r="Z98" s="2025"/>
      <c r="AA98" s="2025"/>
      <c r="AB98" s="2025"/>
      <c r="AC98" s="2025"/>
    </row>
    <row r="99" spans="1:29" s="1291" customFormat="1" ht="15" thickTop="1">
      <c r="A99" s="718"/>
      <c r="B99" s="663">
        <f>B35</f>
        <v>111</v>
      </c>
      <c r="C99" s="533"/>
      <c r="D99" s="533"/>
      <c r="E99" s="533"/>
      <c r="F99" s="533"/>
      <c r="G99" s="678"/>
      <c r="H99" s="679"/>
      <c r="I99" s="679"/>
      <c r="J99" s="679"/>
      <c r="K99" s="679"/>
      <c r="L99" s="680"/>
      <c r="M99" s="681"/>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7"/>
      <c r="B100" s="660"/>
      <c r="C100" s="682"/>
      <c r="D100" s="661"/>
      <c r="E100" s="661"/>
      <c r="F100" s="661"/>
      <c r="G100" s="682"/>
      <c r="H100" s="683"/>
      <c r="I100" s="683"/>
      <c r="J100" s="683"/>
      <c r="K100" s="683"/>
      <c r="L100" s="683"/>
      <c r="M100" s="684"/>
      <c r="N100" s="2046"/>
      <c r="O100" s="2046"/>
      <c r="P100" s="2047"/>
      <c r="Q100" s="2048"/>
      <c r="R100" s="2049"/>
      <c r="S100" s="2049"/>
      <c r="T100" s="2049"/>
      <c r="U100" s="2049"/>
      <c r="V100" s="2049"/>
      <c r="W100" s="2049"/>
      <c r="X100" s="2049"/>
      <c r="Y100" s="2049"/>
      <c r="Z100" s="2049"/>
      <c r="AA100" s="2049"/>
      <c r="AB100" s="2049"/>
      <c r="AC100" s="2049"/>
    </row>
    <row r="101" spans="1:29" ht="15" thickTop="1">
      <c r="A101" s="725"/>
      <c r="B101" s="663">
        <f>B36</f>
        <v>111</v>
      </c>
      <c r="C101" s="678"/>
      <c r="D101" s="678"/>
      <c r="E101" s="678"/>
      <c r="F101" s="678"/>
      <c r="G101" s="678"/>
      <c r="H101" s="679"/>
      <c r="I101" s="679"/>
      <c r="J101" s="679"/>
      <c r="K101" s="679"/>
      <c r="L101" s="680"/>
      <c r="M101" s="681"/>
      <c r="N101" s="204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82"/>
      <c r="D102" s="682"/>
      <c r="E102" s="682"/>
      <c r="F102" s="682"/>
      <c r="G102" s="682"/>
      <c r="H102" s="683"/>
      <c r="I102" s="683"/>
      <c r="J102" s="683"/>
      <c r="K102" s="683"/>
      <c r="L102" s="683"/>
      <c r="M102" s="684"/>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786</v>
      </c>
      <c r="B2" s="837"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787</v>
      </c>
      <c r="B3" s="502" t="e">
        <f>C37</f>
        <v>#DIV/0!</v>
      </c>
      <c r="C3" s="839" t="s">
        <v>788</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789</v>
      </c>
      <c r="B4" s="505"/>
      <c r="C4" s="3584" t="s">
        <v>790</v>
      </c>
      <c r="D4" s="3585"/>
      <c r="E4" s="3618" t="s">
        <v>791</v>
      </c>
      <c r="F4" s="3619"/>
      <c r="G4" s="3584" t="s">
        <v>792</v>
      </c>
      <c r="H4" s="3585"/>
      <c r="I4" s="3584" t="s">
        <v>793</v>
      </c>
      <c r="J4" s="3585"/>
      <c r="K4" s="506" t="s">
        <v>794</v>
      </c>
      <c r="L4" s="2013"/>
      <c r="M4" s="2014"/>
      <c r="N4" s="2014"/>
      <c r="O4" s="2014"/>
      <c r="P4" s="3586" t="s">
        <v>795</v>
      </c>
      <c r="Q4" s="3587"/>
      <c r="R4" s="3592" t="s">
        <v>791</v>
      </c>
      <c r="S4" s="3593"/>
      <c r="T4" s="3592" t="s">
        <v>792</v>
      </c>
      <c r="U4" s="3593"/>
      <c r="V4" s="3579" t="s">
        <v>793</v>
      </c>
      <c r="W4" s="3579"/>
      <c r="X4" s="1500"/>
      <c r="Y4" s="3592" t="s">
        <v>795</v>
      </c>
      <c r="Z4" s="3593"/>
      <c r="AA4" s="3581" t="s">
        <v>791</v>
      </c>
      <c r="AB4" s="3582" t="s">
        <v>792</v>
      </c>
      <c r="AC4" s="3581" t="s">
        <v>793</v>
      </c>
    </row>
    <row r="5" spans="1:29" ht="15">
      <c r="A5" s="507"/>
      <c r="B5" s="508"/>
      <c r="C5" s="3600" t="s">
        <v>2892</v>
      </c>
      <c r="D5" s="3601"/>
      <c r="E5" s="3620" t="s">
        <v>2893</v>
      </c>
      <c r="F5" s="3621"/>
      <c r="G5" s="3600" t="s">
        <v>2894</v>
      </c>
      <c r="H5" s="3601"/>
      <c r="I5" s="3600" t="s">
        <v>2895</v>
      </c>
      <c r="J5" s="3601"/>
      <c r="K5" s="506"/>
      <c r="L5" s="2013"/>
      <c r="M5" s="2014"/>
      <c r="N5" s="2014"/>
      <c r="O5" s="2014"/>
      <c r="P5" s="3588"/>
      <c r="Q5" s="3589"/>
      <c r="R5" s="3594"/>
      <c r="S5" s="3595"/>
      <c r="T5" s="3594"/>
      <c r="U5" s="3595"/>
      <c r="V5" s="3579"/>
      <c r="W5" s="3579"/>
      <c r="X5" s="1500"/>
      <c r="Y5" s="3594"/>
      <c r="Z5" s="3595"/>
      <c r="AA5" s="3582"/>
      <c r="AB5" s="3582"/>
      <c r="AC5" s="3582"/>
    </row>
    <row r="6" spans="1:29" ht="15.75" thickBot="1">
      <c r="A6" s="509"/>
      <c r="B6" s="510"/>
      <c r="C6" s="3598" t="s">
        <v>2896</v>
      </c>
      <c r="D6" s="3599"/>
      <c r="E6" s="3616" t="s">
        <v>2896</v>
      </c>
      <c r="F6" s="3617"/>
      <c r="G6" s="3598" t="s">
        <v>2896</v>
      </c>
      <c r="H6" s="3599"/>
      <c r="I6" s="3598" t="s">
        <v>2896</v>
      </c>
      <c r="J6" s="3599"/>
      <c r="K6" s="506" t="s">
        <v>520</v>
      </c>
      <c r="L6" s="2013"/>
      <c r="M6" s="2014"/>
      <c r="N6" s="2014"/>
      <c r="O6" s="2014"/>
      <c r="P6" s="3590"/>
      <c r="Q6" s="3591"/>
      <c r="R6" s="3594"/>
      <c r="S6" s="3595"/>
      <c r="T6" s="3596"/>
      <c r="U6" s="3597"/>
      <c r="V6" s="3579"/>
      <c r="W6" s="3579"/>
      <c r="X6" s="1500"/>
      <c r="Y6" s="3596"/>
      <c r="Z6" s="3597"/>
      <c r="AA6" s="3583"/>
      <c r="AB6" s="3583"/>
      <c r="AC6" s="3583"/>
    </row>
    <row r="7" spans="1:29" s="1201" customFormat="1" ht="15.75" thickBot="1">
      <c r="A7" s="2627"/>
      <c r="B7" s="2634" t="s">
        <v>521</v>
      </c>
      <c r="C7" s="511">
        <f>'数据-取费表'!B2</f>
        <v>44424</v>
      </c>
      <c r="D7" s="512">
        <v>100</v>
      </c>
      <c r="E7" s="513"/>
      <c r="F7" s="514">
        <f>SUMIF(46:46,YEAR(E7)&amp;"-"&amp;MONTH(E7),47:47)</f>
        <v>0</v>
      </c>
      <c r="G7" s="515"/>
      <c r="H7" s="512">
        <f>SUMIF(46:46,YEAR(G7)&amp;"-"&amp;MONTH(G7),47:47)</f>
        <v>0</v>
      </c>
      <c r="I7" s="515"/>
      <c r="J7" s="512">
        <f>SUMIF(46:46,YEAR(I7)&amp;"-"&amp;MONTH(I7),47:47)</f>
        <v>0</v>
      </c>
      <c r="K7" s="516"/>
      <c r="L7" s="2015"/>
      <c r="M7" s="2016"/>
      <c r="N7" s="2016"/>
      <c r="O7" s="2016"/>
      <c r="P7" s="3609" t="s">
        <v>522</v>
      </c>
      <c r="Q7" s="3611"/>
      <c r="R7" s="1501" t="s">
        <v>8</v>
      </c>
      <c r="S7" s="1502">
        <f t="shared" ref="S7:S14" si="0">F7</f>
        <v>0</v>
      </c>
      <c r="T7" s="1501" t="s">
        <v>8</v>
      </c>
      <c r="U7" s="1502">
        <f t="shared" ref="U7:U14" si="1">H7</f>
        <v>0</v>
      </c>
      <c r="V7" s="1501" t="s">
        <v>8</v>
      </c>
      <c r="W7" s="1502">
        <f t="shared" ref="W7:W14" si="2">J7</f>
        <v>0</v>
      </c>
      <c r="X7" s="1503"/>
      <c r="Y7" s="3609" t="s">
        <v>522</v>
      </c>
      <c r="Z7" s="3610"/>
      <c r="AA7" s="1504" t="e">
        <f>D7/F7</f>
        <v>#DIV/0!</v>
      </c>
      <c r="AB7" s="1504" t="e">
        <f>D7/H7</f>
        <v>#DIV/0!</v>
      </c>
      <c r="AC7" s="1504" t="e">
        <f>D7/J7</f>
        <v>#DIV/0!</v>
      </c>
    </row>
    <row r="8" spans="1:29" s="1201" customFormat="1" ht="15.75" thickBot="1">
      <c r="A8" s="2628"/>
      <c r="B8" s="2635" t="s">
        <v>523</v>
      </c>
      <c r="C8" s="517" t="s">
        <v>568</v>
      </c>
      <c r="D8" s="512">
        <v>100</v>
      </c>
      <c r="E8" s="517"/>
      <c r="F8" s="514">
        <f>SUMIF(49:49,E8,50:50)-SUMIF(49:49,C8,50:50)+100</f>
        <v>0</v>
      </c>
      <c r="G8" s="517"/>
      <c r="H8" s="512">
        <f>SUMIF(49:49,G8,50:50)-SUMIF(49:49,C8,50:50)+100</f>
        <v>0</v>
      </c>
      <c r="I8" s="517"/>
      <c r="J8" s="512">
        <f>SUMIF(49:49,I8,50:50)-SUMIF(49:49,C8,50:50)+100</f>
        <v>0</v>
      </c>
      <c r="K8" s="516"/>
      <c r="L8" s="2015"/>
      <c r="M8" s="2016"/>
      <c r="N8" s="2016"/>
      <c r="O8" s="2016"/>
      <c r="P8" s="3609" t="s">
        <v>525</v>
      </c>
      <c r="Q8" s="3610"/>
      <c r="R8" s="1501" t="s">
        <v>8</v>
      </c>
      <c r="S8" s="1502">
        <f t="shared" si="0"/>
        <v>0</v>
      </c>
      <c r="T8" s="1501" t="s">
        <v>8</v>
      </c>
      <c r="U8" s="1502">
        <f t="shared" si="1"/>
        <v>0</v>
      </c>
      <c r="V8" s="1501" t="s">
        <v>8</v>
      </c>
      <c r="W8" s="1502">
        <f t="shared" si="2"/>
        <v>0</v>
      </c>
      <c r="X8" s="1503"/>
      <c r="Y8" s="3609" t="s">
        <v>525</v>
      </c>
      <c r="Z8" s="3610"/>
      <c r="AA8" s="1504" t="e">
        <f t="shared" ref="AA8:AA34" si="3">D8/F8</f>
        <v>#DIV/0!</v>
      </c>
      <c r="AB8" s="1504" t="e">
        <f t="shared" ref="AB8:AB34" si="4">D8/H8</f>
        <v>#DIV/0!</v>
      </c>
      <c r="AC8" s="1504" t="e">
        <f t="shared" ref="AC8:AC34" si="5">D8/J8</f>
        <v>#DIV/0!</v>
      </c>
    </row>
    <row r="9" spans="1:29" s="1201" customFormat="1" ht="15">
      <c r="A9" s="2629"/>
      <c r="B9" s="2636" t="s">
        <v>2734</v>
      </c>
      <c r="C9" s="844"/>
      <c r="D9" s="250">
        <v>100</v>
      </c>
      <c r="E9" s="847"/>
      <c r="F9" s="250">
        <f>SUMIF(51:51,E9,52:52)-SUMIF(51:51,C9,52:52)+100</f>
        <v>100</v>
      </c>
      <c r="G9" s="847"/>
      <c r="H9" s="250">
        <f>SUMIF(51:51,G9,52:52)-SUMIF(51:51,C9,52:52)+100</f>
        <v>100</v>
      </c>
      <c r="I9" s="847"/>
      <c r="J9" s="250">
        <f>SUMIF(51:51,I9,52:52)-SUMIF(51:51,C9,52:52)+100</f>
        <v>100</v>
      </c>
      <c r="K9" s="516"/>
      <c r="L9" s="2015"/>
      <c r="M9" s="2016"/>
      <c r="N9" s="2016"/>
      <c r="O9" s="2017"/>
      <c r="P9" s="3578" t="s">
        <v>527</v>
      </c>
      <c r="Q9" s="1132" t="str">
        <f t="shared" ref="Q9:Q14" si="6">B9</f>
        <v>用途</v>
      </c>
      <c r="R9" s="1501" t="s">
        <v>8</v>
      </c>
      <c r="S9" s="1502">
        <f t="shared" si="0"/>
        <v>100</v>
      </c>
      <c r="T9" s="1501" t="s">
        <v>8</v>
      </c>
      <c r="U9" s="1502">
        <f t="shared" si="1"/>
        <v>100</v>
      </c>
      <c r="V9" s="1501" t="s">
        <v>8</v>
      </c>
      <c r="W9" s="1502">
        <f t="shared" si="2"/>
        <v>100</v>
      </c>
      <c r="X9" s="1503"/>
      <c r="Y9" s="3524"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SUMIF(53:53,E10,54:54)-SUMIF(53:53,C10,54:54)+100</f>
        <v>100</v>
      </c>
      <c r="G10" s="849"/>
      <c r="H10" s="251">
        <f>SUMIF(53:53,G10,54:54)-SUMIF(53:53,C10,54:54)+100</f>
        <v>100</v>
      </c>
      <c r="I10" s="848"/>
      <c r="J10" s="251">
        <f>SUMIF(53:53,I10,54:54)-SUMIF(53:53,C10,54:54)+100</f>
        <v>100</v>
      </c>
      <c r="K10" s="576"/>
      <c r="L10" s="2018"/>
      <c r="M10" s="2057"/>
      <c r="N10" s="2057"/>
      <c r="O10" s="2019"/>
      <c r="P10" s="3578"/>
      <c r="Q10" s="1132" t="str">
        <f t="shared" si="6"/>
        <v>土地使用年限（年）</v>
      </c>
      <c r="R10" s="1501" t="s">
        <v>8</v>
      </c>
      <c r="S10" s="1502">
        <f t="shared" si="0"/>
        <v>100</v>
      </c>
      <c r="T10" s="1501" t="s">
        <v>8</v>
      </c>
      <c r="U10" s="1502">
        <f t="shared" si="1"/>
        <v>100</v>
      </c>
      <c r="V10" s="1501" t="s">
        <v>8</v>
      </c>
      <c r="W10" s="1502">
        <f t="shared" si="2"/>
        <v>100</v>
      </c>
      <c r="X10" s="1503"/>
      <c r="Y10" s="3524"/>
      <c r="Z10" s="1131" t="str">
        <f t="shared" si="7"/>
        <v>土地使用年限（年）</v>
      </c>
      <c r="AA10" s="1504">
        <f t="shared" si="3"/>
        <v>1</v>
      </c>
      <c r="AB10" s="1504">
        <f t="shared" si="4"/>
        <v>1</v>
      </c>
      <c r="AC10" s="1504">
        <f t="shared" si="5"/>
        <v>1</v>
      </c>
    </row>
    <row r="11" spans="1:29" ht="15">
      <c r="A11" s="2632"/>
      <c r="B11" s="2638">
        <v>111</v>
      </c>
      <c r="C11" s="520"/>
      <c r="D11" s="251">
        <v>100</v>
      </c>
      <c r="E11" s="867"/>
      <c r="F11" s="251">
        <f>SUMIF(55:55,E11,56:56)-SUMIF(55:55,C11,56:56)+100</f>
        <v>100</v>
      </c>
      <c r="G11" s="867"/>
      <c r="H11" s="251">
        <f>SUMIF(55:55,G11,56:56)-SUMIF(55:55,C11,56:56)+100</f>
        <v>100</v>
      </c>
      <c r="I11" s="867"/>
      <c r="J11" s="251">
        <f>SUMIF(55:55,I11,56:56)-SUMIF(55:55,C11,56:56)+100</f>
        <v>100</v>
      </c>
      <c r="K11" s="573"/>
      <c r="L11" s="2020"/>
      <c r="M11" s="2014"/>
      <c r="N11" s="2014"/>
      <c r="O11" s="2021"/>
      <c r="P11" s="3578"/>
      <c r="Q11" s="1132">
        <f t="shared" si="6"/>
        <v>111</v>
      </c>
      <c r="R11" s="1501" t="s">
        <v>8</v>
      </c>
      <c r="S11" s="1502">
        <f t="shared" si="0"/>
        <v>100</v>
      </c>
      <c r="T11" s="1501" t="s">
        <v>8</v>
      </c>
      <c r="U11" s="1502">
        <f t="shared" si="1"/>
        <v>100</v>
      </c>
      <c r="V11" s="1501" t="s">
        <v>8</v>
      </c>
      <c r="W11" s="1502">
        <f t="shared" si="2"/>
        <v>100</v>
      </c>
      <c r="X11" s="1503"/>
      <c r="Y11" s="3524"/>
      <c r="Z11" s="1131">
        <f t="shared" si="7"/>
        <v>111</v>
      </c>
      <c r="AA11" s="1504">
        <f t="shared" si="3"/>
        <v>1</v>
      </c>
      <c r="AB11" s="1504">
        <f t="shared" si="4"/>
        <v>1</v>
      </c>
      <c r="AC11" s="1504">
        <f t="shared" si="5"/>
        <v>1</v>
      </c>
    </row>
    <row r="12" spans="1:29" s="1201" customFormat="1" ht="15">
      <c r="A12" s="2632"/>
      <c r="B12" s="2638">
        <v>111</v>
      </c>
      <c r="C12" s="520"/>
      <c r="D12" s="530">
        <v>100</v>
      </c>
      <c r="E12" s="867"/>
      <c r="F12" s="251">
        <f>SUMIF(57:57,E12,58:58)-SUMIF(57:57,C12,58:58)+100</f>
        <v>100</v>
      </c>
      <c r="G12" s="867"/>
      <c r="H12" s="251">
        <f>SUMIF(57:57,G12,58:58)-SUMIF(57:57,C12,58:58)+100</f>
        <v>100</v>
      </c>
      <c r="I12" s="867"/>
      <c r="J12" s="251">
        <f>SUMIF(57:57,I12,58:58)-SUMIF(57:57,C12,58:58)+100</f>
        <v>100</v>
      </c>
      <c r="K12" s="573"/>
      <c r="L12" s="2015"/>
      <c r="M12" s="2016"/>
      <c r="N12" s="2016"/>
      <c r="O12" s="2017"/>
      <c r="P12" s="3578"/>
      <c r="Q12" s="1132">
        <f t="shared" si="6"/>
        <v>111</v>
      </c>
      <c r="R12" s="1501" t="s">
        <v>8</v>
      </c>
      <c r="S12" s="1502">
        <f t="shared" si="0"/>
        <v>100</v>
      </c>
      <c r="T12" s="1501" t="s">
        <v>8</v>
      </c>
      <c r="U12" s="1502">
        <f t="shared" si="1"/>
        <v>100</v>
      </c>
      <c r="V12" s="1501" t="s">
        <v>8</v>
      </c>
      <c r="W12" s="1502">
        <f t="shared" si="2"/>
        <v>100</v>
      </c>
      <c r="X12" s="1503"/>
      <c r="Y12" s="3524"/>
      <c r="Z12" s="1131">
        <f t="shared" si="7"/>
        <v>111</v>
      </c>
      <c r="AA12" s="1504">
        <f>D12/F12</f>
        <v>1</v>
      </c>
      <c r="AB12" s="1504">
        <f>D12/H12</f>
        <v>1</v>
      </c>
      <c r="AC12" s="1504">
        <f>D12/J12</f>
        <v>1</v>
      </c>
    </row>
    <row r="13" spans="1:29" ht="15.75" thickBot="1">
      <c r="A13" s="2633"/>
      <c r="B13" s="2639">
        <v>111</v>
      </c>
      <c r="C13" s="531"/>
      <c r="D13" s="532">
        <v>100</v>
      </c>
      <c r="E13" s="867"/>
      <c r="F13" s="251">
        <f>SUMIF(59:59,E13,60:60)-SUMIF(59:59,C13,60:60)+100</f>
        <v>100</v>
      </c>
      <c r="G13" s="867"/>
      <c r="H13" s="532">
        <f>SUMIF(59:59,G13,60:60)-SUMIF(59:59,C13,60:60)+100</f>
        <v>100</v>
      </c>
      <c r="I13" s="867"/>
      <c r="J13" s="532">
        <f>SUMIF(59:59,I13,60:60)-SUMIF(59:59,C13,60:60)+100</f>
        <v>100</v>
      </c>
      <c r="K13" s="573"/>
      <c r="L13" s="2022"/>
      <c r="M13" s="2014"/>
      <c r="N13" s="2014"/>
      <c r="O13" s="2021"/>
      <c r="P13" s="3578"/>
      <c r="Q13" s="1132">
        <f t="shared" si="6"/>
        <v>111</v>
      </c>
      <c r="R13" s="1501" t="s">
        <v>8</v>
      </c>
      <c r="S13" s="1502">
        <f t="shared" si="0"/>
        <v>100</v>
      </c>
      <c r="T13" s="1501" t="s">
        <v>8</v>
      </c>
      <c r="U13" s="1502">
        <f t="shared" si="1"/>
        <v>100</v>
      </c>
      <c r="V13" s="1501" t="s">
        <v>8</v>
      </c>
      <c r="W13" s="1502">
        <f t="shared" si="2"/>
        <v>100</v>
      </c>
      <c r="X13" s="1503"/>
      <c r="Y13" s="3524"/>
      <c r="Z13" s="1131">
        <f t="shared" si="7"/>
        <v>111</v>
      </c>
      <c r="AA13" s="1504">
        <f t="shared" si="3"/>
        <v>1</v>
      </c>
      <c r="AB13" s="1504">
        <f t="shared" si="4"/>
        <v>1</v>
      </c>
      <c r="AC13" s="1504">
        <f t="shared" si="5"/>
        <v>1</v>
      </c>
    </row>
    <row r="14" spans="1:29" ht="156.75">
      <c r="A14" s="2625" t="s">
        <v>2732</v>
      </c>
      <c r="B14" s="163"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2"/>
      <c r="M14" s="2014"/>
      <c r="N14" s="2014"/>
      <c r="O14" s="2021"/>
      <c r="P14" s="3612" t="s">
        <v>532</v>
      </c>
      <c r="Q14" s="1505" t="str">
        <f t="shared" si="6"/>
        <v>交通便捷度</v>
      </c>
      <c r="R14" s="1506" t="s">
        <v>8</v>
      </c>
      <c r="S14" s="1507">
        <f t="shared" si="0"/>
        <v>100</v>
      </c>
      <c r="T14" s="1506" t="s">
        <v>8</v>
      </c>
      <c r="U14" s="1507">
        <f t="shared" si="1"/>
        <v>100</v>
      </c>
      <c r="V14" s="1506" t="s">
        <v>8</v>
      </c>
      <c r="W14" s="1507">
        <f t="shared" si="2"/>
        <v>100</v>
      </c>
      <c r="X14" s="1500"/>
      <c r="Y14" s="3612" t="s">
        <v>532</v>
      </c>
      <c r="Z14" s="1508" t="str">
        <f t="shared" si="7"/>
        <v>交通便捷度</v>
      </c>
      <c r="AA14" s="1509">
        <f t="shared" si="3"/>
        <v>1</v>
      </c>
      <c r="AB14" s="1509">
        <f t="shared" si="4"/>
        <v>1</v>
      </c>
      <c r="AC14" s="1509">
        <f t="shared" si="5"/>
        <v>1</v>
      </c>
    </row>
    <row r="15" spans="1:29" ht="15">
      <c r="A15" s="524"/>
      <c r="B15" s="856"/>
      <c r="C15" s="568"/>
      <c r="D15" s="547"/>
      <c r="E15" s="568"/>
      <c r="F15" s="549"/>
      <c r="G15" s="568"/>
      <c r="H15" s="551"/>
      <c r="I15" s="568"/>
      <c r="J15" s="547"/>
      <c r="K15" s="886"/>
      <c r="L15" s="2022"/>
      <c r="M15" s="2014"/>
      <c r="N15" s="2014"/>
      <c r="O15" s="2021"/>
      <c r="P15" s="3613"/>
      <c r="Q15" s="1505"/>
      <c r="R15" s="1506"/>
      <c r="S15" s="1507"/>
      <c r="T15" s="1506"/>
      <c r="U15" s="1507"/>
      <c r="V15" s="1506"/>
      <c r="W15" s="1507"/>
      <c r="X15" s="1500"/>
      <c r="Y15" s="3613"/>
      <c r="Z15" s="1508"/>
      <c r="AA15" s="1509">
        <v>1</v>
      </c>
      <c r="AB15" s="1509">
        <v>1</v>
      </c>
      <c r="AC15" s="1509">
        <v>1</v>
      </c>
    </row>
    <row r="16" spans="1:29" ht="342">
      <c r="A16" s="524"/>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2"/>
      <c r="F16" s="563">
        <f>SUMIF(63:63,E17,64:64)-SUMIF(63:63,C17,64:64)+100</f>
        <v>100</v>
      </c>
      <c r="G16" s="564"/>
      <c r="H16" s="557">
        <f>SUMIF(63:63,G17,64:64)-SUMIF(63:63,C17,64:64)+100</f>
        <v>100</v>
      </c>
      <c r="I16" s="562"/>
      <c r="J16" s="557">
        <f>SUMIF(63:63,I17,64:64)-SUMIF(63:63,C17,64:64)+100</f>
        <v>100</v>
      </c>
      <c r="K16" s="885"/>
      <c r="L16" s="2022"/>
      <c r="M16" s="2014"/>
      <c r="N16" s="2014"/>
      <c r="O16" s="2021"/>
      <c r="P16" s="3613"/>
      <c r="Q16" s="1505" t="str">
        <f>B16</f>
        <v>公共配套设施</v>
      </c>
      <c r="R16" s="1506" t="s">
        <v>8</v>
      </c>
      <c r="S16" s="1507">
        <f>F16</f>
        <v>100</v>
      </c>
      <c r="T16" s="1506" t="s">
        <v>8</v>
      </c>
      <c r="U16" s="1507">
        <f>H16</f>
        <v>100</v>
      </c>
      <c r="V16" s="1506" t="s">
        <v>8</v>
      </c>
      <c r="W16" s="1507">
        <f>J16</f>
        <v>100</v>
      </c>
      <c r="X16" s="1500"/>
      <c r="Y16" s="3613"/>
      <c r="Z16" s="1508" t="str">
        <f>Q16</f>
        <v>公共配套设施</v>
      </c>
      <c r="AA16" s="1509">
        <f t="shared" si="3"/>
        <v>1</v>
      </c>
      <c r="AB16" s="1509">
        <f t="shared" si="4"/>
        <v>1</v>
      </c>
      <c r="AC16" s="1509">
        <f t="shared" si="5"/>
        <v>1</v>
      </c>
    </row>
    <row r="17" spans="1:29" ht="15">
      <c r="A17" s="524"/>
      <c r="B17" s="558"/>
      <c r="C17" s="860"/>
      <c r="D17" s="547"/>
      <c r="E17" s="568"/>
      <c r="F17" s="549"/>
      <c r="G17" s="568"/>
      <c r="H17" s="547"/>
      <c r="I17" s="568"/>
      <c r="J17" s="547"/>
      <c r="K17" s="886"/>
      <c r="L17" s="2022"/>
      <c r="M17" s="2014"/>
      <c r="N17" s="2014"/>
      <c r="O17" s="2021"/>
      <c r="P17" s="3613"/>
      <c r="Q17" s="1505"/>
      <c r="R17" s="1506"/>
      <c r="S17" s="1507"/>
      <c r="T17" s="1506"/>
      <c r="U17" s="1507"/>
      <c r="V17" s="1506"/>
      <c r="W17" s="1507"/>
      <c r="X17" s="1500"/>
      <c r="Y17" s="3613"/>
      <c r="Z17" s="1508"/>
      <c r="AA17" s="1509">
        <v>1</v>
      </c>
      <c r="AB17" s="1509">
        <v>1</v>
      </c>
      <c r="AC17" s="1509">
        <v>1</v>
      </c>
    </row>
    <row r="18" spans="1:29" ht="156.75">
      <c r="A18" s="524"/>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54"/>
      <c r="F18" s="555">
        <f>SUMIF(65:65,E19,66:66)-SUMIF(65:65,C19,66:66)+100</f>
        <v>100</v>
      </c>
      <c r="G18" s="556"/>
      <c r="H18" s="557">
        <f>SUMIF(65:65,G19,66:66)-SUMIF(65:65,C19,66:66)+100</f>
        <v>100</v>
      </c>
      <c r="I18" s="562"/>
      <c r="J18" s="557">
        <f>SUMIF(65:65,I19,66:66)-SUMIF(65:65,C19,66:66)+100</f>
        <v>100</v>
      </c>
      <c r="K18" s="885"/>
      <c r="L18" s="2022"/>
      <c r="M18" s="2014"/>
      <c r="N18" s="2014"/>
      <c r="O18" s="2021"/>
      <c r="P18" s="3613"/>
      <c r="Q18" s="2427" t="str">
        <f>B18</f>
        <v>基础设施水平</v>
      </c>
      <c r="R18" s="1506" t="s">
        <v>8</v>
      </c>
      <c r="S18" s="1507">
        <f>F18</f>
        <v>100</v>
      </c>
      <c r="T18" s="1506" t="s">
        <v>8</v>
      </c>
      <c r="U18" s="1507">
        <f>H18</f>
        <v>100</v>
      </c>
      <c r="V18" s="1506" t="s">
        <v>8</v>
      </c>
      <c r="W18" s="1507">
        <f>J18</f>
        <v>100</v>
      </c>
      <c r="X18" s="2429"/>
      <c r="Y18" s="3613"/>
      <c r="Z18" s="2428" t="str">
        <f>Q18</f>
        <v>基础设施水平</v>
      </c>
      <c r="AA18" s="1509">
        <f t="shared" ref="AA18" si="8">D18/F18</f>
        <v>1</v>
      </c>
      <c r="AB18" s="1509">
        <f t="shared" ref="AB18" si="9">D18/H18</f>
        <v>1</v>
      </c>
      <c r="AC18" s="1509">
        <f t="shared" ref="AC18" si="10">D18/J18</f>
        <v>1</v>
      </c>
    </row>
    <row r="19" spans="1:29" ht="15">
      <c r="A19" s="524"/>
      <c r="B19" s="570"/>
      <c r="C19" s="860"/>
      <c r="D19" s="551"/>
      <c r="E19" s="860"/>
      <c r="F19" s="555"/>
      <c r="G19" s="860"/>
      <c r="H19" s="547"/>
      <c r="I19" s="568"/>
      <c r="J19" s="547"/>
      <c r="K19" s="2444"/>
      <c r="L19" s="2022"/>
      <c r="M19" s="2014"/>
      <c r="N19" s="2014"/>
      <c r="O19" s="2021"/>
      <c r="P19" s="3613"/>
      <c r="Q19" s="2427"/>
      <c r="R19" s="1506"/>
      <c r="S19" s="1507"/>
      <c r="T19" s="1506"/>
      <c r="U19" s="1507"/>
      <c r="V19" s="1506"/>
      <c r="W19" s="1507"/>
      <c r="X19" s="2429"/>
      <c r="Y19" s="3613"/>
      <c r="Z19" s="2428"/>
      <c r="AA19" s="1509">
        <v>1</v>
      </c>
      <c r="AB19" s="1509">
        <v>1</v>
      </c>
      <c r="AC19" s="1509">
        <v>1</v>
      </c>
    </row>
    <row r="20" spans="1:29" ht="185.25">
      <c r="A20" s="524"/>
      <c r="B20" s="858"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62"/>
      <c r="F20" s="563">
        <f>SUMIF(67:67,E21,68:68)-SUMIF(67:67,C21,68:68)+100</f>
        <v>100</v>
      </c>
      <c r="G20" s="564"/>
      <c r="H20" s="551">
        <f>SUMIF(67:67,G21,68:68)-SUMIF(67:67,C21,68:68)+100</f>
        <v>100</v>
      </c>
      <c r="I20" s="554"/>
      <c r="J20" s="551">
        <f>SUMIF(67:67,I21,68:68)-SUMIF(67:67,C21,68:68)+100</f>
        <v>100</v>
      </c>
      <c r="K20" s="885"/>
      <c r="L20" s="2022"/>
      <c r="M20" s="2014"/>
      <c r="N20" s="2014"/>
      <c r="O20" s="2021"/>
      <c r="P20" s="3613"/>
      <c r="Q20" s="1505" t="str">
        <f>B20</f>
        <v>自然及人文环境</v>
      </c>
      <c r="R20" s="1506" t="s">
        <v>8</v>
      </c>
      <c r="S20" s="1507">
        <f>F20</f>
        <v>100</v>
      </c>
      <c r="T20" s="1506" t="s">
        <v>8</v>
      </c>
      <c r="U20" s="1507">
        <f>H20</f>
        <v>100</v>
      </c>
      <c r="V20" s="1506" t="s">
        <v>8</v>
      </c>
      <c r="W20" s="1507">
        <f>J20</f>
        <v>100</v>
      </c>
      <c r="X20" s="1500"/>
      <c r="Y20" s="3613"/>
      <c r="Z20" s="1508" t="str">
        <f>Q20</f>
        <v>自然及人文环境</v>
      </c>
      <c r="AA20" s="1509">
        <f t="shared" si="3"/>
        <v>1</v>
      </c>
      <c r="AB20" s="1509">
        <f t="shared" si="4"/>
        <v>1</v>
      </c>
      <c r="AC20" s="1509">
        <f t="shared" si="5"/>
        <v>1</v>
      </c>
    </row>
    <row r="21" spans="1:29" ht="15">
      <c r="A21" s="524"/>
      <c r="B21" s="587"/>
      <c r="C21" s="568"/>
      <c r="D21" s="547"/>
      <c r="E21" s="568"/>
      <c r="F21" s="549"/>
      <c r="G21" s="568"/>
      <c r="H21" s="547"/>
      <c r="I21" s="568"/>
      <c r="J21" s="547"/>
      <c r="K21" s="886"/>
      <c r="L21" s="2022"/>
      <c r="M21" s="2014"/>
      <c r="N21" s="2014"/>
      <c r="O21" s="2021"/>
      <c r="P21" s="3613"/>
      <c r="Q21" s="1505"/>
      <c r="R21" s="1506"/>
      <c r="S21" s="1507"/>
      <c r="T21" s="1506"/>
      <c r="U21" s="1507"/>
      <c r="V21" s="1506"/>
      <c r="W21" s="1507"/>
      <c r="X21" s="1500"/>
      <c r="Y21" s="3613"/>
      <c r="Z21" s="1508"/>
      <c r="AA21" s="1509">
        <v>1</v>
      </c>
      <c r="AB21" s="1509">
        <v>1</v>
      </c>
      <c r="AC21" s="1509">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2"/>
      <c r="M22" s="2014"/>
      <c r="N22" s="2014"/>
      <c r="O22" s="2021"/>
      <c r="P22" s="3613"/>
      <c r="Q22" s="1505" t="str">
        <f>B22</f>
        <v>楼层</v>
      </c>
      <c r="R22" s="1506" t="s">
        <v>8</v>
      </c>
      <c r="S22" s="1507">
        <f>F22</f>
        <v>100</v>
      </c>
      <c r="T22" s="1506" t="s">
        <v>8</v>
      </c>
      <c r="U22" s="1507">
        <f>H22</f>
        <v>100</v>
      </c>
      <c r="V22" s="1506" t="s">
        <v>8</v>
      </c>
      <c r="W22" s="1507">
        <f>J22</f>
        <v>100</v>
      </c>
      <c r="X22" s="1500"/>
      <c r="Y22" s="3613"/>
      <c r="Z22" s="1508" t="str">
        <f>Q22</f>
        <v>楼层</v>
      </c>
      <c r="AA22" s="1509">
        <f t="shared" si="3"/>
        <v>1</v>
      </c>
      <c r="AB22" s="1509">
        <f t="shared" si="4"/>
        <v>1</v>
      </c>
      <c r="AC22" s="1509">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2"/>
      <c r="M23" s="2014"/>
      <c r="N23" s="2014"/>
      <c r="O23" s="2021"/>
      <c r="P23" s="3613"/>
      <c r="Q23" s="1505">
        <f>B23</f>
        <v>111</v>
      </c>
      <c r="R23" s="1506" t="s">
        <v>8</v>
      </c>
      <c r="S23" s="1507">
        <f>F23</f>
        <v>100</v>
      </c>
      <c r="T23" s="1506" t="s">
        <v>8</v>
      </c>
      <c r="U23" s="1507">
        <f>H23</f>
        <v>100</v>
      </c>
      <c r="V23" s="1506" t="s">
        <v>8</v>
      </c>
      <c r="W23" s="1507">
        <f>J23</f>
        <v>100</v>
      </c>
      <c r="X23" s="1500"/>
      <c r="Y23" s="3613"/>
      <c r="Z23" s="1508">
        <f>Q23</f>
        <v>111</v>
      </c>
      <c r="AA23" s="1509">
        <f t="shared" si="3"/>
        <v>1</v>
      </c>
      <c r="AB23" s="1509">
        <f t="shared" si="4"/>
        <v>1</v>
      </c>
      <c r="AC23" s="1509">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2"/>
      <c r="M24" s="2014"/>
      <c r="N24" s="2014"/>
      <c r="O24" s="2021"/>
      <c r="P24" s="3613"/>
      <c r="Q24" s="1505">
        <f t="shared" ref="Q24:Q34" si="11">B24</f>
        <v>111</v>
      </c>
      <c r="R24" s="1506" t="s">
        <v>8</v>
      </c>
      <c r="S24" s="1507">
        <f>F24</f>
        <v>100</v>
      </c>
      <c r="T24" s="1506" t="s">
        <v>8</v>
      </c>
      <c r="U24" s="1507">
        <f>H24</f>
        <v>100</v>
      </c>
      <c r="V24" s="1506" t="s">
        <v>8</v>
      </c>
      <c r="W24" s="1507">
        <f>J24</f>
        <v>100</v>
      </c>
      <c r="X24" s="1500"/>
      <c r="Y24" s="3613"/>
      <c r="Z24" s="1508">
        <f>Q24</f>
        <v>111</v>
      </c>
      <c r="AA24" s="1509">
        <f t="shared" si="3"/>
        <v>1</v>
      </c>
      <c r="AB24" s="1509">
        <f t="shared" si="4"/>
        <v>1</v>
      </c>
      <c r="AC24" s="1509">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5"/>
      <c r="M25" s="2016"/>
      <c r="N25" s="2016"/>
      <c r="O25" s="2017"/>
      <c r="P25" s="3613"/>
      <c r="Q25" s="1132">
        <f t="shared" si="11"/>
        <v>111</v>
      </c>
      <c r="R25" s="1501" t="s">
        <v>8</v>
      </c>
      <c r="S25" s="1502">
        <f>F25</f>
        <v>100</v>
      </c>
      <c r="T25" s="1501" t="s">
        <v>8</v>
      </c>
      <c r="U25" s="1502">
        <f>H25</f>
        <v>100</v>
      </c>
      <c r="V25" s="1501" t="s">
        <v>8</v>
      </c>
      <c r="W25" s="1502">
        <f>J25</f>
        <v>100</v>
      </c>
      <c r="X25" s="1503"/>
      <c r="Y25" s="3613"/>
      <c r="Z25" s="1131">
        <f>Q25</f>
        <v>111</v>
      </c>
      <c r="AA25" s="1509">
        <f>D25/F25</f>
        <v>1</v>
      </c>
      <c r="AB25" s="1509">
        <f>D25/H25</f>
        <v>1</v>
      </c>
      <c r="AC25" s="1509">
        <f>D25/J25</f>
        <v>1</v>
      </c>
    </row>
    <row r="26" spans="1:29" ht="15">
      <c r="A26" s="2622"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2"/>
      <c r="M26" s="2014"/>
      <c r="N26" s="2014"/>
      <c r="O26" s="2021"/>
      <c r="P26" s="3614" t="s">
        <v>813</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615" t="s">
        <v>813</v>
      </c>
      <c r="Z26" s="1508" t="str">
        <f t="shared" ref="Z26:Z34" si="15">Q26</f>
        <v>公共部分装修</v>
      </c>
      <c r="AA26" s="1509">
        <f t="shared" si="3"/>
        <v>1</v>
      </c>
      <c r="AB26" s="1509">
        <f t="shared" si="4"/>
        <v>1</v>
      </c>
      <c r="AC26" s="1509">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20"/>
      <c r="M27" s="2050"/>
      <c r="N27" s="2050"/>
      <c r="O27" s="2023"/>
      <c r="P27" s="3615"/>
      <c r="Q27" s="1534" t="str">
        <f t="shared" si="11"/>
        <v>成新率</v>
      </c>
      <c r="R27" s="1510" t="s">
        <v>8</v>
      </c>
      <c r="S27" s="1511" t="e">
        <f t="shared" si="12"/>
        <v>#N/A</v>
      </c>
      <c r="T27" s="1510" t="s">
        <v>8</v>
      </c>
      <c r="U27" s="1511" t="e">
        <f t="shared" si="13"/>
        <v>#N/A</v>
      </c>
      <c r="V27" s="1510" t="s">
        <v>8</v>
      </c>
      <c r="W27" s="1511" t="e">
        <f t="shared" si="14"/>
        <v>#N/A</v>
      </c>
      <c r="X27" s="1512"/>
      <c r="Y27" s="3615"/>
      <c r="Z27" s="1513" t="str">
        <f t="shared" si="15"/>
        <v>成新率</v>
      </c>
      <c r="AA27" s="1509" t="e">
        <f t="shared" si="3"/>
        <v>#N/A</v>
      </c>
      <c r="AB27" s="1509" t="e">
        <f t="shared" si="4"/>
        <v>#N/A</v>
      </c>
      <c r="AC27" s="1509"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2"/>
      <c r="M28" s="2014"/>
      <c r="N28" s="2014"/>
      <c r="O28" s="2021"/>
      <c r="P28" s="3615"/>
      <c r="Q28" s="1505" t="str">
        <f t="shared" si="11"/>
        <v>物业等级</v>
      </c>
      <c r="R28" s="1506" t="s">
        <v>8</v>
      </c>
      <c r="S28" s="1507">
        <f t="shared" si="12"/>
        <v>100</v>
      </c>
      <c r="T28" s="1506" t="s">
        <v>8</v>
      </c>
      <c r="U28" s="1507">
        <f t="shared" si="13"/>
        <v>100</v>
      </c>
      <c r="V28" s="1506" t="s">
        <v>8</v>
      </c>
      <c r="W28" s="1507">
        <f t="shared" si="14"/>
        <v>100</v>
      </c>
      <c r="X28" s="1500"/>
      <c r="Y28" s="3615"/>
      <c r="Z28" s="1508" t="str">
        <f t="shared" si="15"/>
        <v>物业等级</v>
      </c>
      <c r="AA28" s="1509">
        <f t="shared" si="3"/>
        <v>1</v>
      </c>
      <c r="AB28" s="1509">
        <f t="shared" si="4"/>
        <v>1</v>
      </c>
      <c r="AC28" s="1509">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2"/>
      <c r="M29" s="2014"/>
      <c r="N29" s="2014"/>
      <c r="O29" s="2021"/>
      <c r="P29" s="3615"/>
      <c r="Q29" s="1505" t="str">
        <f t="shared" si="11"/>
        <v>有无电梯</v>
      </c>
      <c r="R29" s="1506" t="s">
        <v>8</v>
      </c>
      <c r="S29" s="1507">
        <f t="shared" si="12"/>
        <v>100</v>
      </c>
      <c r="T29" s="1506" t="s">
        <v>8</v>
      </c>
      <c r="U29" s="1507">
        <f t="shared" si="13"/>
        <v>100</v>
      </c>
      <c r="V29" s="1506" t="s">
        <v>8</v>
      </c>
      <c r="W29" s="1507">
        <f t="shared" si="14"/>
        <v>100</v>
      </c>
      <c r="X29" s="1500"/>
      <c r="Y29" s="3615"/>
      <c r="Z29" s="1508" t="str">
        <f t="shared" si="15"/>
        <v>有无电梯</v>
      </c>
      <c r="AA29" s="1509">
        <f t="shared" si="3"/>
        <v>1</v>
      </c>
      <c r="AB29" s="1509">
        <f t="shared" si="4"/>
        <v>1</v>
      </c>
      <c r="AC29" s="1509">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2"/>
      <c r="M30" s="2014"/>
      <c r="N30" s="2014"/>
      <c r="O30" s="2021"/>
      <c r="P30" s="3615"/>
      <c r="Q30" s="1505" t="str">
        <f t="shared" si="11"/>
        <v>建筑面积</v>
      </c>
      <c r="R30" s="1506" t="s">
        <v>8</v>
      </c>
      <c r="S30" s="1507" t="e">
        <f t="shared" si="12"/>
        <v>#N/A</v>
      </c>
      <c r="T30" s="1506" t="s">
        <v>8</v>
      </c>
      <c r="U30" s="1507" t="e">
        <f t="shared" si="13"/>
        <v>#N/A</v>
      </c>
      <c r="V30" s="1506" t="s">
        <v>8</v>
      </c>
      <c r="W30" s="1507" t="e">
        <f t="shared" si="14"/>
        <v>#N/A</v>
      </c>
      <c r="X30" s="1500"/>
      <c r="Y30" s="3615"/>
      <c r="Z30" s="1508" t="str">
        <f t="shared" si="15"/>
        <v>建筑面积</v>
      </c>
      <c r="AA30" s="1509" t="e">
        <f t="shared" si="3"/>
        <v>#N/A</v>
      </c>
      <c r="AB30" s="1509" t="e">
        <f t="shared" si="4"/>
        <v>#N/A</v>
      </c>
      <c r="AC30" s="1509"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5"/>
      <c r="M31" s="2016"/>
      <c r="N31" s="2016"/>
      <c r="O31" s="2017"/>
      <c r="P31" s="3615"/>
      <c r="Q31" s="1132" t="str">
        <f t="shared" si="11"/>
        <v>是否封闭</v>
      </c>
      <c r="R31" s="1501" t="s">
        <v>8</v>
      </c>
      <c r="S31" s="1502">
        <f t="shared" si="12"/>
        <v>100</v>
      </c>
      <c r="T31" s="1501" t="s">
        <v>8</v>
      </c>
      <c r="U31" s="1502">
        <f t="shared" si="13"/>
        <v>100</v>
      </c>
      <c r="V31" s="1501" t="s">
        <v>8</v>
      </c>
      <c r="W31" s="1502">
        <f t="shared" si="14"/>
        <v>100</v>
      </c>
      <c r="X31" s="1503"/>
      <c r="Y31" s="3615"/>
      <c r="Z31" s="1131" t="str">
        <f t="shared" si="15"/>
        <v>是否封闭</v>
      </c>
      <c r="AA31" s="1504">
        <f t="shared" si="3"/>
        <v>1</v>
      </c>
      <c r="AB31" s="1504">
        <f t="shared" si="4"/>
        <v>1</v>
      </c>
      <c r="AC31" s="1504">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2"/>
      <c r="M32" s="2014"/>
      <c r="N32" s="2014"/>
      <c r="O32" s="2021"/>
      <c r="P32" s="3615" t="s">
        <v>542</v>
      </c>
      <c r="Q32" s="1505">
        <f t="shared" si="11"/>
        <v>111</v>
      </c>
      <c r="R32" s="1506" t="s">
        <v>8</v>
      </c>
      <c r="S32" s="1507">
        <f t="shared" si="12"/>
        <v>100</v>
      </c>
      <c r="T32" s="1506" t="s">
        <v>8</v>
      </c>
      <c r="U32" s="1507">
        <f t="shared" si="13"/>
        <v>100</v>
      </c>
      <c r="V32" s="1506" t="s">
        <v>8</v>
      </c>
      <c r="W32" s="1507">
        <f t="shared" si="14"/>
        <v>100</v>
      </c>
      <c r="X32" s="1500"/>
      <c r="Y32" s="3615" t="s">
        <v>542</v>
      </c>
      <c r="Z32" s="1508">
        <f t="shared" si="15"/>
        <v>111</v>
      </c>
      <c r="AA32" s="1509">
        <f t="shared" si="3"/>
        <v>1</v>
      </c>
      <c r="AB32" s="1509">
        <f t="shared" si="4"/>
        <v>1</v>
      </c>
      <c r="AC32" s="1509">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2"/>
      <c r="M33" s="2014"/>
      <c r="N33" s="2014"/>
      <c r="O33" s="2021"/>
      <c r="P33" s="3615"/>
      <c r="Q33" s="1505">
        <f t="shared" si="11"/>
        <v>111</v>
      </c>
      <c r="R33" s="1506" t="s">
        <v>8</v>
      </c>
      <c r="S33" s="1507">
        <f t="shared" si="12"/>
        <v>100</v>
      </c>
      <c r="T33" s="1506" t="s">
        <v>8</v>
      </c>
      <c r="U33" s="1507">
        <f t="shared" si="13"/>
        <v>100</v>
      </c>
      <c r="V33" s="1506" t="s">
        <v>8</v>
      </c>
      <c r="W33" s="1507">
        <f t="shared" si="14"/>
        <v>100</v>
      </c>
      <c r="X33" s="1500"/>
      <c r="Y33" s="3615"/>
      <c r="Z33" s="1508">
        <f t="shared" si="15"/>
        <v>111</v>
      </c>
      <c r="AA33" s="1509">
        <f t="shared" si="3"/>
        <v>1</v>
      </c>
      <c r="AB33" s="1509">
        <f t="shared" si="4"/>
        <v>1</v>
      </c>
      <c r="AC33" s="1509">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2"/>
      <c r="M34" s="2014"/>
      <c r="N34" s="2014"/>
      <c r="O34" s="2021"/>
      <c r="P34" s="3615"/>
      <c r="Q34" s="1505">
        <f t="shared" si="11"/>
        <v>111</v>
      </c>
      <c r="R34" s="1506" t="s">
        <v>8</v>
      </c>
      <c r="S34" s="1507">
        <f t="shared" si="12"/>
        <v>100</v>
      </c>
      <c r="T34" s="1506" t="s">
        <v>8</v>
      </c>
      <c r="U34" s="1507">
        <f t="shared" si="13"/>
        <v>100</v>
      </c>
      <c r="V34" s="1506" t="s">
        <v>8</v>
      </c>
      <c r="W34" s="1507">
        <f t="shared" si="14"/>
        <v>100</v>
      </c>
      <c r="X34" s="1500"/>
      <c r="Y34" s="3615"/>
      <c r="Z34" s="1508">
        <f t="shared" si="15"/>
        <v>111</v>
      </c>
      <c r="AA34" s="1509">
        <f t="shared" si="3"/>
        <v>1</v>
      </c>
      <c r="AB34" s="1509">
        <f t="shared" si="4"/>
        <v>1</v>
      </c>
      <c r="AC34" s="1509">
        <f t="shared" si="5"/>
        <v>1</v>
      </c>
    </row>
    <row r="35" spans="1:29" ht="15">
      <c r="A35" s="599" t="s">
        <v>728</v>
      </c>
      <c r="B35" s="874"/>
      <c r="C35" s="2468" t="s">
        <v>1</v>
      </c>
      <c r="D35" s="2469"/>
      <c r="E35" s="2470"/>
      <c r="F35" s="2471"/>
      <c r="G35" s="2472"/>
      <c r="H35" s="2473"/>
      <c r="I35" s="2470"/>
      <c r="J35" s="2473"/>
      <c r="K35" s="1539"/>
      <c r="L35" s="2024"/>
      <c r="M35" s="2025"/>
      <c r="N35" s="2014"/>
      <c r="O35" s="2025"/>
      <c r="P35" s="3578" t="str">
        <f>A35</f>
        <v>成交单价（元/平方米）</v>
      </c>
      <c r="Q35" s="3578"/>
      <c r="R35" s="3694">
        <f>E35</f>
        <v>0</v>
      </c>
      <c r="S35" s="3694"/>
      <c r="T35" s="3694">
        <f>G35</f>
        <v>0</v>
      </c>
      <c r="U35" s="3694"/>
      <c r="V35" s="3694">
        <f>I35</f>
        <v>0</v>
      </c>
      <c r="W35" s="3694"/>
      <c r="X35" s="1495"/>
      <c r="Y35" s="1514"/>
      <c r="Z35" s="1495"/>
      <c r="AA35" s="1495"/>
      <c r="AB35" s="1495"/>
      <c r="AC35" s="1495"/>
    </row>
    <row r="36" spans="1:29" ht="15.75" thickBot="1">
      <c r="A36" s="607" t="s">
        <v>2738</v>
      </c>
      <c r="B36" s="875"/>
      <c r="C36" s="2474" t="e">
        <f>R37</f>
        <v>#DIV/0!</v>
      </c>
      <c r="D36" s="3012" t="s">
        <v>2964</v>
      </c>
      <c r="E36" s="2475" t="e">
        <f>R36</f>
        <v>#DIV/0!</v>
      </c>
      <c r="F36" s="3013"/>
      <c r="G36" s="2474" t="e">
        <f>T36</f>
        <v>#DIV/0!</v>
      </c>
      <c r="H36" s="3013"/>
      <c r="I36" s="2475" t="e">
        <f>V36</f>
        <v>#DIV/0!</v>
      </c>
      <c r="J36" s="3013"/>
      <c r="K36" s="3021">
        <f>F36+H36+J36</f>
        <v>0</v>
      </c>
      <c r="L36" s="2024"/>
      <c r="M36" s="2025"/>
      <c r="N36" s="2014"/>
      <c r="O36" s="2025"/>
      <c r="P36" s="3578" t="str">
        <f>A36</f>
        <v>比较价格（元/平方米）</v>
      </c>
      <c r="Q36" s="3578"/>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1495"/>
      <c r="Y36" s="1495"/>
      <c r="Z36" s="1495"/>
      <c r="AA36" s="1495"/>
      <c r="AB36" s="1495"/>
      <c r="AC36" s="1495"/>
    </row>
    <row r="37" spans="1:29" ht="15.75" thickBot="1">
      <c r="A37" s="611" t="s">
        <v>2898</v>
      </c>
      <c r="B37" s="612"/>
      <c r="C37" s="2476" t="e">
        <f>R37</f>
        <v>#DIV/0!</v>
      </c>
      <c r="D37" s="2476"/>
      <c r="E37" s="2476"/>
      <c r="F37" s="2476"/>
      <c r="G37" s="2476"/>
      <c r="H37" s="2476"/>
      <c r="I37" s="2476"/>
      <c r="J37" s="2476"/>
      <c r="K37" s="1540"/>
      <c r="L37" s="2024"/>
      <c r="M37" s="2025"/>
      <c r="N37" s="2025"/>
      <c r="O37" s="2025"/>
      <c r="P37" s="3575" t="str">
        <f>A37</f>
        <v>估价对象XX用房的比较价格（楼面单价，元/平方米）</v>
      </c>
      <c r="Q37" s="3576"/>
      <c r="R37" s="3693" t="e">
        <f>IF(F1="售价",ROUND(IF(D36="简单平均",AVERAGE(R36:W36),R36*F36+T36*H36+V36*J36),0),ROUND(IF(D36="简单平均",AVERAGE(R36:V36),R36*F36+T36*H36+V36*J36),1))</f>
        <v>#DIV/0!</v>
      </c>
      <c r="S37" s="3693"/>
      <c r="T37" s="3693"/>
      <c r="U37" s="3693"/>
      <c r="V37" s="3693"/>
      <c r="W37" s="3693"/>
      <c r="X37" s="1495"/>
      <c r="Y37" s="1495"/>
      <c r="Z37" s="1495"/>
      <c r="AA37" s="1495"/>
      <c r="AB37" s="1495"/>
      <c r="AC37" s="1495"/>
    </row>
    <row r="38" spans="1:29">
      <c r="A38" s="3210"/>
      <c r="B38" s="3210"/>
      <c r="C38" s="3210"/>
      <c r="D38" s="3210"/>
      <c r="E38" s="3210"/>
      <c r="F38" s="3210"/>
      <c r="G38" s="3212"/>
      <c r="H38" s="3210"/>
      <c r="I38" s="3210"/>
      <c r="J38" s="3210"/>
      <c r="K38" s="3213"/>
      <c r="L38" s="2029"/>
      <c r="M38" s="2025"/>
      <c r="N38" s="2025"/>
      <c r="O38" s="2025"/>
      <c r="P38" s="2025"/>
      <c r="Q38" s="2025"/>
      <c r="R38" s="2025"/>
      <c r="S38" s="2025"/>
      <c r="T38" s="2025"/>
      <c r="U38" s="2025"/>
      <c r="V38" s="2025"/>
      <c r="W38" s="2025"/>
      <c r="X38" s="2025"/>
      <c r="Y38" s="2025"/>
      <c r="Z38" s="2025"/>
      <c r="AA38" s="2025"/>
      <c r="AB38" s="2025"/>
      <c r="AC38" s="2025"/>
    </row>
    <row r="39" spans="1:29">
      <c r="A39" s="3210"/>
      <c r="B39" s="3210"/>
      <c r="C39" s="3210"/>
      <c r="D39" s="3210"/>
      <c r="E39" s="3210"/>
      <c r="F39" s="3210"/>
      <c r="G39" s="3210"/>
      <c r="H39" s="3210"/>
      <c r="I39" s="3210"/>
      <c r="J39" s="3210"/>
      <c r="K39" s="3213"/>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0"/>
      <c r="B40" s="3210"/>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13"/>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0"/>
      <c r="B41" s="3210"/>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13"/>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1"/>
      <c r="B42" s="3211"/>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4"/>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566</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5" t="s">
        <v>521</v>
      </c>
      <c r="B46" s="636"/>
      <c r="C46" s="2517" t="str">
        <f>YEAR(C7)&amp;"-"&amp;MONTH(C7)</f>
        <v>2021-8</v>
      </c>
      <c r="D46" s="2519">
        <f>EDATE(C46,-1)</f>
        <v>44378</v>
      </c>
      <c r="E46" s="2519">
        <f t="shared" ref="E46:O46" si="16">EDATE(D46,-1)</f>
        <v>44348</v>
      </c>
      <c r="F46" s="2519">
        <f t="shared" si="16"/>
        <v>44317</v>
      </c>
      <c r="G46" s="2519">
        <f t="shared" si="16"/>
        <v>44287</v>
      </c>
      <c r="H46" s="2519">
        <f t="shared" si="16"/>
        <v>44256</v>
      </c>
      <c r="I46" s="2519">
        <f t="shared" si="16"/>
        <v>44228</v>
      </c>
      <c r="J46" s="2519">
        <f t="shared" si="16"/>
        <v>44197</v>
      </c>
      <c r="K46" s="2519">
        <f t="shared" si="16"/>
        <v>44166</v>
      </c>
      <c r="L46" s="2519">
        <f t="shared" si="16"/>
        <v>44136</v>
      </c>
      <c r="M46" s="2519">
        <f t="shared" si="16"/>
        <v>44105</v>
      </c>
      <c r="N46" s="2519">
        <f t="shared" si="16"/>
        <v>44075</v>
      </c>
      <c r="O46" s="2519">
        <f t="shared" si="16"/>
        <v>44044</v>
      </c>
      <c r="P46" s="2039"/>
      <c r="Q46" s="2040"/>
      <c r="R46" s="2040"/>
      <c r="S46" s="2040"/>
      <c r="T46" s="2040"/>
      <c r="U46" s="2040"/>
      <c r="V46" s="2040"/>
      <c r="W46" s="2040"/>
      <c r="X46" s="2040"/>
      <c r="Y46" s="2040"/>
      <c r="Z46" s="2040"/>
      <c r="AA46" s="2040"/>
      <c r="AB46" s="2040"/>
      <c r="AC46" s="2040"/>
    </row>
    <row r="47" spans="1:29" s="1201" customFormat="1" ht="15">
      <c r="A47" s="637"/>
      <c r="B47" s="638"/>
      <c r="C47" s="639">
        <v>100</v>
      </c>
      <c r="D47" s="640"/>
      <c r="E47" s="640"/>
      <c r="F47" s="640"/>
      <c r="G47" s="640"/>
      <c r="H47" s="640"/>
      <c r="I47" s="640"/>
      <c r="J47" s="640"/>
      <c r="K47" s="640"/>
      <c r="L47" s="640"/>
      <c r="M47" s="641"/>
      <c r="N47" s="640"/>
      <c r="O47" s="642"/>
      <c r="P47" s="2037"/>
      <c r="Q47" s="1903"/>
      <c r="R47" s="1903"/>
      <c r="S47" s="1903"/>
      <c r="T47" s="1903"/>
      <c r="U47" s="1903"/>
      <c r="V47" s="1903"/>
      <c r="W47" s="1903"/>
      <c r="X47" s="1903"/>
      <c r="Y47" s="1903"/>
      <c r="Z47" s="1903"/>
      <c r="AA47" s="1903"/>
      <c r="AB47" s="1903"/>
      <c r="AC47" s="1903"/>
    </row>
    <row r="48" spans="1:29" s="1201" customFormat="1" ht="15.75" thickBot="1">
      <c r="A48" s="643" t="s">
        <v>567</v>
      </c>
      <c r="B48" s="644"/>
      <c r="C48" s="645"/>
      <c r="D48" s="646"/>
      <c r="E48" s="646"/>
      <c r="F48" s="646"/>
      <c r="G48" s="646"/>
      <c r="H48" s="646"/>
      <c r="I48" s="646"/>
      <c r="J48" s="646"/>
      <c r="K48" s="646"/>
      <c r="L48" s="646"/>
      <c r="M48" s="647"/>
      <c r="N48" s="646"/>
      <c r="O48" s="648"/>
      <c r="P48" s="2037"/>
      <c r="Q48" s="2037"/>
      <c r="R48" s="1903"/>
      <c r="S48" s="1903"/>
      <c r="T48" s="1903"/>
      <c r="U48" s="1903"/>
      <c r="V48" s="1903"/>
      <c r="W48" s="1903"/>
      <c r="X48" s="1903"/>
      <c r="Y48" s="1903"/>
      <c r="Z48" s="1903"/>
      <c r="AA48" s="1903"/>
      <c r="AB48" s="1903"/>
      <c r="AC48" s="1903"/>
    </row>
    <row r="49" spans="1:29" s="1201" customFormat="1" ht="15">
      <c r="A49" s="649" t="s">
        <v>523</v>
      </c>
      <c r="B49" s="638"/>
      <c r="C49" s="650" t="s">
        <v>568</v>
      </c>
      <c r="D49" s="651"/>
      <c r="E49" s="651"/>
      <c r="F49" s="651"/>
      <c r="G49" s="651"/>
      <c r="H49" s="651"/>
      <c r="I49" s="651"/>
      <c r="J49" s="651"/>
      <c r="K49" s="651"/>
      <c r="L49" s="652"/>
      <c r="M49" s="653"/>
      <c r="N49" s="2041"/>
      <c r="O49" s="2041"/>
      <c r="P49" s="2042"/>
      <c r="Q49" s="2037"/>
      <c r="R49" s="1903"/>
      <c r="S49" s="1903"/>
      <c r="T49" s="1903"/>
      <c r="U49" s="1903"/>
      <c r="V49" s="1903"/>
      <c r="W49" s="1903"/>
      <c r="X49" s="1903"/>
      <c r="Y49" s="1903"/>
      <c r="Z49" s="1903"/>
      <c r="AA49" s="1903"/>
      <c r="AB49" s="1903"/>
      <c r="AC49" s="1903"/>
    </row>
    <row r="50" spans="1:29" s="1201" customFormat="1" ht="15.75" thickBot="1">
      <c r="A50" s="649"/>
      <c r="B50" s="638"/>
      <c r="C50" s="639">
        <v>100</v>
      </c>
      <c r="D50" s="640"/>
      <c r="E50" s="640"/>
      <c r="F50" s="640"/>
      <c r="G50" s="640"/>
      <c r="H50" s="640"/>
      <c r="I50" s="640"/>
      <c r="J50" s="640"/>
      <c r="K50" s="640"/>
      <c r="L50" s="640"/>
      <c r="M50" s="642"/>
      <c r="N50" s="2041"/>
      <c r="O50" s="2041"/>
      <c r="P50" s="2037"/>
      <c r="Q50" s="2037"/>
      <c r="R50" s="1903"/>
      <c r="S50" s="1903"/>
      <c r="T50" s="1903"/>
      <c r="U50" s="1903"/>
      <c r="V50" s="1903"/>
      <c r="W50" s="1903"/>
      <c r="X50" s="1903"/>
      <c r="Y50" s="1903"/>
      <c r="Z50" s="1903"/>
      <c r="AA50" s="1903"/>
      <c r="AB50" s="1903"/>
      <c r="AC50" s="1903"/>
    </row>
    <row r="51" spans="1:29">
      <c r="A51" s="654" t="s">
        <v>569</v>
      </c>
      <c r="B51" s="655" t="s">
        <v>526</v>
      </c>
      <c r="C51" s="694">
        <f>C9</f>
        <v>0</v>
      </c>
      <c r="D51" s="590"/>
      <c r="E51" s="590"/>
      <c r="F51" s="590"/>
      <c r="G51" s="590"/>
      <c r="H51" s="590"/>
      <c r="I51" s="590"/>
      <c r="J51" s="590"/>
      <c r="K51" s="656"/>
      <c r="L51" s="657"/>
      <c r="M51" s="658"/>
      <c r="N51" s="2043"/>
      <c r="O51" s="2043"/>
      <c r="P51" s="2044"/>
      <c r="Q51" s="2037"/>
      <c r="R51" s="2025"/>
      <c r="S51" s="2025"/>
      <c r="T51" s="2025"/>
      <c r="U51" s="2025"/>
      <c r="V51" s="2025"/>
      <c r="W51" s="2025"/>
      <c r="X51" s="2025"/>
      <c r="Y51" s="2025"/>
      <c r="Z51" s="2025"/>
      <c r="AA51" s="2025"/>
      <c r="AB51" s="2025"/>
      <c r="AC51" s="2025"/>
    </row>
    <row r="52" spans="1:29" ht="15.75" thickBot="1">
      <c r="A52" s="659"/>
      <c r="B52" s="660"/>
      <c r="C52" s="661">
        <v>100</v>
      </c>
      <c r="D52" s="661"/>
      <c r="E52" s="661"/>
      <c r="F52" s="661"/>
      <c r="G52" s="661"/>
      <c r="H52" s="661"/>
      <c r="I52" s="661"/>
      <c r="J52" s="661"/>
      <c r="K52" s="661"/>
      <c r="L52" s="661"/>
      <c r="M52" s="662"/>
      <c r="N52" s="2045"/>
      <c r="O52" s="2045"/>
      <c r="P52" s="2044"/>
      <c r="Q52" s="2037"/>
      <c r="R52" s="2025"/>
      <c r="S52" s="2025"/>
      <c r="T52" s="2025"/>
      <c r="U52" s="2025"/>
      <c r="V52" s="2025"/>
      <c r="W52" s="2025"/>
      <c r="X52" s="2025"/>
      <c r="Y52" s="2025"/>
      <c r="Z52" s="2025"/>
      <c r="AA52" s="2025"/>
      <c r="AB52" s="2025"/>
      <c r="AC52" s="2025"/>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3"/>
      <c r="O53" s="2043"/>
      <c r="P53" s="2044"/>
      <c r="Q53" s="2037"/>
      <c r="R53" s="2025"/>
      <c r="S53" s="2025"/>
      <c r="T53" s="2025"/>
      <c r="U53" s="2025"/>
      <c r="V53" s="2025"/>
      <c r="W53" s="2025"/>
      <c r="X53" s="2025"/>
      <c r="Y53" s="2025"/>
      <c r="Z53" s="2025"/>
      <c r="AA53" s="2025"/>
      <c r="AB53" s="2025"/>
      <c r="AC53" s="20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5"/>
      <c r="O54" s="2045"/>
      <c r="P54" s="2044"/>
      <c r="Q54" s="2037"/>
      <c r="R54" s="2025"/>
      <c r="S54" s="2025"/>
      <c r="T54" s="2025"/>
      <c r="U54" s="2025"/>
      <c r="V54" s="2025"/>
      <c r="W54" s="2025"/>
      <c r="X54" s="2025"/>
      <c r="Y54" s="2025"/>
      <c r="Z54" s="2025"/>
      <c r="AA54" s="2025"/>
      <c r="AB54" s="2025"/>
      <c r="AC54" s="2025"/>
    </row>
    <row r="55" spans="1:29" ht="15.75" thickTop="1">
      <c r="A55" s="659"/>
      <c r="B55" s="922">
        <f>B11</f>
        <v>111</v>
      </c>
      <c r="C55" s="533"/>
      <c r="D55" s="533"/>
      <c r="E55" s="533"/>
      <c r="F55" s="533"/>
      <c r="G55" s="533"/>
      <c r="H55" s="533"/>
      <c r="I55" s="533"/>
      <c r="J55" s="533"/>
      <c r="K55" s="674"/>
      <c r="L55" s="675"/>
      <c r="M55" s="676"/>
      <c r="N55" s="2043"/>
      <c r="O55" s="2043"/>
      <c r="P55" s="2044"/>
      <c r="Q55" s="2037"/>
      <c r="R55" s="2025"/>
      <c r="S55" s="2025"/>
      <c r="T55" s="2025"/>
      <c r="U55" s="2025"/>
      <c r="V55" s="2025"/>
      <c r="W55" s="2025"/>
      <c r="X55" s="2025"/>
      <c r="Y55" s="2025"/>
      <c r="Z55" s="2025"/>
      <c r="AA55" s="2025"/>
      <c r="AB55" s="2025"/>
      <c r="AC55" s="2025"/>
    </row>
    <row r="56" spans="1:29" ht="15.75" thickBot="1">
      <c r="A56" s="659"/>
      <c r="B56" s="660"/>
      <c r="C56" s="682"/>
      <c r="D56" s="661"/>
      <c r="E56" s="661"/>
      <c r="F56" s="661"/>
      <c r="G56" s="661"/>
      <c r="H56" s="661"/>
      <c r="I56" s="661"/>
      <c r="J56" s="661"/>
      <c r="K56" s="661"/>
      <c r="L56" s="661"/>
      <c r="M56" s="662"/>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7"/>
      <c r="B57" s="663">
        <f>B12</f>
        <v>111</v>
      </c>
      <c r="C57" s="533"/>
      <c r="D57" s="533"/>
      <c r="E57" s="533"/>
      <c r="F57" s="533"/>
      <c r="G57" s="678"/>
      <c r="H57" s="679"/>
      <c r="I57" s="679"/>
      <c r="J57" s="679"/>
      <c r="K57" s="679"/>
      <c r="L57" s="680"/>
      <c r="M57" s="681"/>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7"/>
      <c r="B58" s="668"/>
      <c r="C58" s="682"/>
      <c r="D58" s="661"/>
      <c r="E58" s="661"/>
      <c r="F58" s="661"/>
      <c r="G58" s="661"/>
      <c r="H58" s="661"/>
      <c r="I58" s="661"/>
      <c r="J58" s="661"/>
      <c r="K58" s="661"/>
      <c r="L58" s="661"/>
      <c r="M58" s="662"/>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7"/>
      <c r="B59" s="663">
        <f>B13</f>
        <v>111</v>
      </c>
      <c r="C59" s="533"/>
      <c r="D59" s="533"/>
      <c r="E59" s="533"/>
      <c r="F59" s="533"/>
      <c r="G59" s="678"/>
      <c r="H59" s="679"/>
      <c r="I59" s="679"/>
      <c r="J59" s="679"/>
      <c r="K59" s="679"/>
      <c r="L59" s="680"/>
      <c r="M59" s="681"/>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7"/>
      <c r="B60" s="668"/>
      <c r="C60" s="682"/>
      <c r="D60" s="682"/>
      <c r="E60" s="682"/>
      <c r="F60" s="682"/>
      <c r="G60" s="682"/>
      <c r="H60" s="683"/>
      <c r="I60" s="683"/>
      <c r="J60" s="683"/>
      <c r="K60" s="683"/>
      <c r="L60" s="683"/>
      <c r="M60" s="684"/>
      <c r="N60" s="2046"/>
      <c r="O60" s="2046"/>
      <c r="P60" s="2047"/>
      <c r="Q60" s="2048"/>
      <c r="R60" s="2049"/>
      <c r="S60" s="2049"/>
      <c r="T60" s="2049"/>
      <c r="U60" s="2049"/>
      <c r="V60" s="2049"/>
      <c r="W60" s="2049"/>
      <c r="X60" s="2049"/>
      <c r="Y60" s="2049"/>
      <c r="Z60" s="2049"/>
      <c r="AA60" s="2049"/>
      <c r="AB60" s="2049"/>
      <c r="AC60" s="2049"/>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3"/>
      <c r="O61" s="2043"/>
      <c r="P61" s="2053"/>
      <c r="Q61" s="2037"/>
      <c r="R61" s="2025"/>
      <c r="S61" s="2025"/>
      <c r="T61" s="2025"/>
      <c r="U61" s="2025"/>
      <c r="V61" s="2025"/>
      <c r="W61" s="2025"/>
      <c r="X61" s="2025"/>
      <c r="Y61" s="2025"/>
      <c r="Z61" s="2025"/>
      <c r="AA61" s="2025"/>
      <c r="AB61" s="2025"/>
      <c r="AC61" s="20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5"/>
      <c r="O62" s="2045"/>
      <c r="P62" s="2044"/>
      <c r="Q62" s="2037"/>
      <c r="R62" s="2025"/>
      <c r="S62" s="2025"/>
      <c r="T62" s="2025"/>
      <c r="U62" s="2025"/>
      <c r="V62" s="2025"/>
      <c r="W62" s="2025"/>
      <c r="X62" s="2025"/>
      <c r="Y62" s="2025"/>
      <c r="Z62" s="2025"/>
      <c r="AA62" s="2025"/>
      <c r="AB62" s="2025"/>
      <c r="AC62" s="2025"/>
    </row>
    <row r="63" spans="1:29" ht="15.75" thickTop="1">
      <c r="A63" s="659"/>
      <c r="B63" s="1808" t="s">
        <v>2536</v>
      </c>
      <c r="C63" s="698" t="s">
        <v>571</v>
      </c>
      <c r="D63" s="698" t="s">
        <v>572</v>
      </c>
      <c r="E63" s="698" t="s">
        <v>573</v>
      </c>
      <c r="F63" s="698" t="s">
        <v>574</v>
      </c>
      <c r="G63" s="698" t="s">
        <v>575</v>
      </c>
      <c r="H63" s="664"/>
      <c r="I63" s="664"/>
      <c r="J63" s="664"/>
      <c r="K63" s="665"/>
      <c r="L63" s="666"/>
      <c r="M63" s="667"/>
      <c r="N63" s="2043"/>
      <c r="O63" s="2043"/>
      <c r="P63" s="2044"/>
      <c r="Q63" s="2037"/>
      <c r="R63" s="2025"/>
      <c r="S63" s="2025"/>
      <c r="T63" s="2025"/>
      <c r="U63" s="2025"/>
      <c r="V63" s="2025"/>
      <c r="W63" s="2025"/>
      <c r="X63" s="2025"/>
      <c r="Y63" s="2025"/>
      <c r="Z63" s="2025"/>
      <c r="AA63" s="2025"/>
      <c r="AB63" s="2025"/>
      <c r="AC63" s="20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2439" t="s">
        <v>2537</v>
      </c>
      <c r="C65" s="2440" t="s">
        <v>2538</v>
      </c>
      <c r="D65" s="2440" t="s">
        <v>2539</v>
      </c>
      <c r="E65" s="2440" t="s">
        <v>2540</v>
      </c>
      <c r="F65" s="2440" t="s">
        <v>2541</v>
      </c>
      <c r="G65" s="2440" t="s">
        <v>2542</v>
      </c>
      <c r="H65" s="664"/>
      <c r="I65" s="664"/>
      <c r="J65" s="664"/>
      <c r="K65" s="664"/>
      <c r="L65" s="664"/>
      <c r="M65" s="2443"/>
      <c r="N65" s="2045"/>
      <c r="O65" s="2045"/>
      <c r="P65" s="2044"/>
      <c r="Q65" s="2037"/>
      <c r="R65" s="2025"/>
      <c r="S65" s="2025"/>
      <c r="T65" s="2025"/>
      <c r="U65" s="2025"/>
      <c r="V65" s="2025"/>
      <c r="W65" s="2025"/>
      <c r="X65" s="2025"/>
      <c r="Y65" s="2025"/>
      <c r="Z65" s="2025"/>
      <c r="AA65" s="2025"/>
      <c r="AB65" s="2025"/>
      <c r="AC65" s="2025"/>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5"/>
      <c r="O66" s="2045"/>
      <c r="P66" s="2044"/>
      <c r="Q66" s="2037"/>
      <c r="R66" s="2025"/>
      <c r="S66" s="2025"/>
      <c r="T66" s="2025"/>
      <c r="U66" s="2025"/>
      <c r="V66" s="2025"/>
      <c r="W66" s="2025"/>
      <c r="X66" s="2025"/>
      <c r="Y66" s="2025"/>
      <c r="Z66" s="2025"/>
      <c r="AA66" s="2025"/>
      <c r="AB66" s="2025"/>
      <c r="AC66" s="2025"/>
    </row>
    <row r="67" spans="1:29" ht="15.75" thickTop="1">
      <c r="A67" s="659"/>
      <c r="B67" s="663" t="s">
        <v>736</v>
      </c>
      <c r="C67" s="698" t="s">
        <v>571</v>
      </c>
      <c r="D67" s="698" t="s">
        <v>572</v>
      </c>
      <c r="E67" s="698" t="s">
        <v>573</v>
      </c>
      <c r="F67" s="698" t="s">
        <v>574</v>
      </c>
      <c r="G67" s="698" t="s">
        <v>575</v>
      </c>
      <c r="H67" s="664"/>
      <c r="I67" s="664"/>
      <c r="J67" s="664"/>
      <c r="K67" s="665"/>
      <c r="L67" s="666"/>
      <c r="M67" s="667"/>
      <c r="N67" s="2043"/>
      <c r="O67" s="2043"/>
      <c r="P67" s="2044"/>
      <c r="Q67" s="2037"/>
      <c r="R67" s="2025"/>
      <c r="S67" s="2025"/>
      <c r="T67" s="2025"/>
      <c r="U67" s="2025"/>
      <c r="V67" s="2025"/>
      <c r="W67" s="2025"/>
      <c r="X67" s="2025"/>
      <c r="Y67" s="2025"/>
      <c r="Z67" s="2025"/>
      <c r="AA67" s="2025"/>
      <c r="AB67" s="2025"/>
      <c r="AC67" s="20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737</v>
      </c>
      <c r="C69" s="678"/>
      <c r="D69" s="678"/>
      <c r="E69" s="678"/>
      <c r="F69" s="678"/>
      <c r="G69" s="678"/>
      <c r="H69" s="708"/>
      <c r="I69" s="708"/>
      <c r="J69" s="708"/>
      <c r="K69" s="709"/>
      <c r="L69" s="710"/>
      <c r="M69" s="711"/>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C70-$K22</f>
        <v>100</v>
      </c>
      <c r="E70" s="669"/>
      <c r="F70" s="669"/>
      <c r="G70" s="669"/>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s="1201" customFormat="1" ht="15.75" thickTop="1">
      <c r="A71" s="699"/>
      <c r="B71" s="663">
        <f>B23</f>
        <v>111</v>
      </c>
      <c r="C71" s="533"/>
      <c r="D71" s="533"/>
      <c r="E71" s="533"/>
      <c r="F71" s="533"/>
      <c r="G71" s="678"/>
      <c r="H71" s="678"/>
      <c r="I71" s="678"/>
      <c r="J71" s="678"/>
      <c r="K71" s="678"/>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699"/>
      <c r="B72" s="668"/>
      <c r="C72" s="682"/>
      <c r="D72" s="661"/>
      <c r="E72" s="661"/>
      <c r="F72" s="661"/>
      <c r="G72" s="661"/>
      <c r="H72" s="661"/>
      <c r="I72" s="661"/>
      <c r="J72" s="661"/>
      <c r="K72" s="661"/>
      <c r="L72" s="661"/>
      <c r="M72" s="662"/>
      <c r="N72" s="2045"/>
      <c r="O72" s="2045"/>
      <c r="P72" s="2044"/>
      <c r="Q72" s="2037"/>
      <c r="R72" s="1903"/>
      <c r="S72" s="1903"/>
      <c r="T72" s="1903"/>
      <c r="U72" s="1903"/>
      <c r="V72" s="1903"/>
      <c r="W72" s="1903"/>
      <c r="X72" s="1903"/>
      <c r="Y72" s="1903"/>
      <c r="Z72" s="1903"/>
      <c r="AA72" s="1903"/>
      <c r="AB72" s="1903"/>
      <c r="AC72" s="1903"/>
    </row>
    <row r="73" spans="1:29" s="1201" customFormat="1" ht="15.75" thickTop="1">
      <c r="A73" s="699"/>
      <c r="B73" s="663">
        <f>B24</f>
        <v>111</v>
      </c>
      <c r="C73" s="533"/>
      <c r="D73" s="533"/>
      <c r="E73" s="533"/>
      <c r="F73" s="533"/>
      <c r="G73" s="678"/>
      <c r="H73" s="678"/>
      <c r="I73" s="678"/>
      <c r="J73" s="678"/>
      <c r="K73" s="678"/>
      <c r="L73" s="678"/>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7"/>
      <c r="B75" s="663">
        <f>B25</f>
        <v>111</v>
      </c>
      <c r="C75" s="533"/>
      <c r="D75" s="533"/>
      <c r="E75" s="533"/>
      <c r="F75" s="533"/>
      <c r="G75" s="678"/>
      <c r="H75" s="679"/>
      <c r="I75" s="679"/>
      <c r="J75" s="679"/>
      <c r="K75" s="679"/>
      <c r="L75" s="680"/>
      <c r="M75" s="681"/>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7"/>
      <c r="B76" s="668"/>
      <c r="C76" s="682"/>
      <c r="D76" s="682"/>
      <c r="E76" s="682"/>
      <c r="F76" s="682"/>
      <c r="G76" s="661"/>
      <c r="H76" s="661"/>
      <c r="I76" s="661"/>
      <c r="J76" s="661"/>
      <c r="K76" s="661"/>
      <c r="L76" s="661"/>
      <c r="M76" s="662"/>
      <c r="N76" s="2046"/>
      <c r="O76" s="2046"/>
      <c r="P76" s="2047"/>
      <c r="Q76" s="2048"/>
      <c r="R76" s="2049"/>
      <c r="S76" s="2049"/>
      <c r="T76" s="2049"/>
      <c r="U76" s="2049"/>
      <c r="V76" s="2049"/>
      <c r="W76" s="2049"/>
      <c r="X76" s="2049"/>
      <c r="Y76" s="2049"/>
      <c r="Z76" s="2049"/>
      <c r="AA76" s="2049"/>
      <c r="AB76" s="2049"/>
      <c r="AC76" s="2049"/>
    </row>
    <row r="77" spans="1:29" ht="15" thickTop="1">
      <c r="A77" s="654" t="s">
        <v>543</v>
      </c>
      <c r="B77" s="655" t="s">
        <v>743</v>
      </c>
      <c r="C77" s="678"/>
      <c r="D77" s="678"/>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1"/>
      <c r="O79" s="2041"/>
      <c r="P79" s="2044"/>
      <c r="Q79" s="2037"/>
      <c r="R79" s="2025"/>
      <c r="S79" s="2025"/>
      <c r="T79" s="2025"/>
      <c r="U79" s="2025"/>
      <c r="V79" s="2025"/>
      <c r="W79" s="2025"/>
      <c r="X79" s="2025"/>
      <c r="Y79" s="2025"/>
      <c r="Z79" s="2025"/>
      <c r="AA79" s="2025"/>
      <c r="AB79" s="2025"/>
      <c r="AC79" s="2025"/>
    </row>
    <row r="80" spans="1:29" ht="15">
      <c r="A80" s="659"/>
      <c r="B80" s="671"/>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5"/>
      <c r="B82" s="671" t="s">
        <v>809</v>
      </c>
      <c r="C82" s="678"/>
      <c r="D82" s="678"/>
      <c r="E82" s="708"/>
      <c r="F82" s="708"/>
      <c r="G82" s="708"/>
      <c r="H82" s="708"/>
      <c r="I82" s="708"/>
      <c r="J82" s="708"/>
      <c r="K82" s="709"/>
      <c r="L82" s="710"/>
      <c r="M82" s="711"/>
      <c r="N82" s="2043"/>
      <c r="O82" s="2043"/>
      <c r="P82" s="2044"/>
      <c r="Q82" s="2037"/>
      <c r="R82" s="2025"/>
      <c r="S82" s="2025"/>
      <c r="T82" s="2025"/>
      <c r="U82" s="2025"/>
      <c r="V82" s="2025"/>
      <c r="W82" s="2025"/>
      <c r="X82" s="2025"/>
      <c r="Y82" s="2025"/>
      <c r="Z82" s="2025"/>
      <c r="AA82" s="2025"/>
      <c r="AB82" s="2025"/>
      <c r="AC82" s="20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5"/>
      <c r="B84" s="663" t="s">
        <v>817</v>
      </c>
      <c r="C84" s="678"/>
      <c r="D84" s="678"/>
      <c r="E84" s="678"/>
      <c r="F84" s="678"/>
      <c r="G84" s="678"/>
      <c r="H84" s="678"/>
      <c r="I84" s="708"/>
      <c r="J84" s="708"/>
      <c r="K84" s="709"/>
      <c r="L84" s="710"/>
      <c r="M84" s="711"/>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3"/>
      <c r="O86" s="2043"/>
      <c r="P86" s="2044"/>
      <c r="Q86" s="2037"/>
      <c r="R86" s="2025"/>
      <c r="S86" s="2025"/>
      <c r="T86" s="2025"/>
      <c r="U86" s="2025"/>
      <c r="V86" s="2025"/>
      <c r="W86" s="2025"/>
      <c r="X86" s="2025"/>
      <c r="Y86" s="2025"/>
      <c r="Z86" s="2025"/>
      <c r="AA86" s="2025"/>
      <c r="AB86" s="2025"/>
      <c r="AC86" s="2025"/>
    </row>
    <row r="87" spans="1:29">
      <c r="A87" s="725"/>
      <c r="B87" s="671"/>
      <c r="C87" s="720"/>
      <c r="D87" s="720"/>
      <c r="E87" s="720"/>
      <c r="F87" s="720"/>
      <c r="G87" s="720"/>
      <c r="H87" s="720"/>
      <c r="I87" s="720"/>
      <c r="J87" s="721"/>
      <c r="K87" s="721"/>
      <c r="L87" s="722"/>
      <c r="M87" s="723"/>
      <c r="N87" s="2043"/>
      <c r="O87" s="2043"/>
      <c r="P87" s="2044"/>
      <c r="Q87" s="2037"/>
      <c r="R87" s="2025"/>
      <c r="S87" s="2025"/>
      <c r="T87" s="2025"/>
      <c r="U87" s="2025"/>
      <c r="V87" s="2025"/>
      <c r="W87" s="2025"/>
      <c r="X87" s="2025"/>
      <c r="Y87" s="2025"/>
      <c r="Z87" s="2025"/>
      <c r="AA87" s="2025"/>
      <c r="AB87" s="2025"/>
      <c r="AC87" s="2025"/>
    </row>
    <row r="88" spans="1:29" ht="15.75" thickBot="1">
      <c r="A88" s="659"/>
      <c r="B88" s="668"/>
      <c r="C88" s="682"/>
      <c r="D88" s="661"/>
      <c r="E88" s="661"/>
      <c r="F88" s="661"/>
      <c r="G88" s="661"/>
      <c r="H88" s="661"/>
      <c r="I88" s="661"/>
      <c r="J88" s="661"/>
      <c r="K88" s="661"/>
      <c r="L88" s="661"/>
      <c r="M88" s="661"/>
      <c r="N88" s="2045"/>
      <c r="O88" s="2045"/>
      <c r="P88" s="2044"/>
      <c r="Q88" s="2037"/>
      <c r="R88" s="2025"/>
      <c r="S88" s="2025"/>
      <c r="T88" s="2025"/>
      <c r="U88" s="2025"/>
      <c r="V88" s="2025"/>
      <c r="W88" s="2025"/>
      <c r="X88" s="2025"/>
      <c r="Y88" s="2025"/>
      <c r="Z88" s="2025"/>
      <c r="AA88" s="2025"/>
      <c r="AB88" s="2025"/>
      <c r="AC88" s="2025"/>
    </row>
    <row r="89" spans="1:29" s="1291" customFormat="1" ht="15" thickTop="1">
      <c r="A89" s="718"/>
      <c r="B89" s="663" t="s">
        <v>819</v>
      </c>
      <c r="C89" s="678"/>
      <c r="D89" s="678"/>
      <c r="E89" s="678"/>
      <c r="F89" s="678"/>
      <c r="G89" s="678"/>
      <c r="H89" s="678"/>
      <c r="I89" s="678"/>
      <c r="J89" s="678"/>
      <c r="K89" s="678"/>
      <c r="L89" s="678"/>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7"/>
      <c r="B90" s="668"/>
      <c r="C90" s="682"/>
      <c r="D90" s="661"/>
      <c r="E90" s="661"/>
      <c r="F90" s="661"/>
      <c r="G90" s="661"/>
      <c r="H90" s="661"/>
      <c r="I90" s="661"/>
      <c r="J90" s="661"/>
      <c r="K90" s="661"/>
      <c r="L90" s="661"/>
      <c r="M90" s="662"/>
      <c r="N90" s="2046"/>
      <c r="O90" s="2046"/>
      <c r="P90" s="2047"/>
      <c r="Q90" s="2048"/>
      <c r="R90" s="2049"/>
      <c r="S90" s="2049"/>
      <c r="T90" s="2049"/>
      <c r="U90" s="2049"/>
      <c r="V90" s="2049"/>
      <c r="W90" s="2049"/>
      <c r="X90" s="2049"/>
      <c r="Y90" s="2049"/>
      <c r="Z90" s="2049"/>
      <c r="AA90" s="2049"/>
      <c r="AB90" s="2049"/>
      <c r="AC90" s="2049"/>
    </row>
    <row r="91" spans="1:29" ht="15" thickTop="1">
      <c r="A91" s="725"/>
      <c r="B91" s="663">
        <f>B32</f>
        <v>111</v>
      </c>
      <c r="C91" s="533"/>
      <c r="D91" s="533"/>
      <c r="E91" s="533"/>
      <c r="F91" s="533"/>
      <c r="G91" s="678"/>
      <c r="H91" s="679"/>
      <c r="I91" s="679"/>
      <c r="J91" s="679"/>
      <c r="K91" s="679"/>
      <c r="L91" s="680"/>
      <c r="M91" s="681"/>
      <c r="N91" s="2043"/>
      <c r="O91" s="2043"/>
      <c r="P91" s="2044"/>
      <c r="Q91" s="2037"/>
      <c r="R91" s="2025"/>
      <c r="S91" s="2025"/>
      <c r="T91" s="2025"/>
      <c r="U91" s="2025"/>
      <c r="V91" s="2025"/>
      <c r="W91" s="2025"/>
      <c r="X91" s="2025"/>
      <c r="Y91" s="2025"/>
      <c r="Z91" s="2025"/>
      <c r="AA91" s="2025"/>
      <c r="AB91" s="2025"/>
      <c r="AC91" s="2025"/>
    </row>
    <row r="92" spans="1:29" ht="15.75" thickBot="1">
      <c r="A92" s="659"/>
      <c r="B92" s="668"/>
      <c r="C92" s="682"/>
      <c r="D92" s="661"/>
      <c r="E92" s="661"/>
      <c r="F92" s="661"/>
      <c r="G92" s="682"/>
      <c r="H92" s="683"/>
      <c r="I92" s="683"/>
      <c r="J92" s="683"/>
      <c r="K92" s="683"/>
      <c r="L92" s="683"/>
      <c r="M92" s="684"/>
      <c r="N92" s="2045"/>
      <c r="O92" s="2045"/>
      <c r="P92" s="2044"/>
      <c r="Q92" s="2037"/>
      <c r="R92" s="2025"/>
      <c r="S92" s="2025"/>
      <c r="T92" s="2025"/>
      <c r="U92" s="2025"/>
      <c r="V92" s="2025"/>
      <c r="W92" s="2025"/>
      <c r="X92" s="2025"/>
      <c r="Y92" s="2025"/>
      <c r="Z92" s="2025"/>
      <c r="AA92" s="2025"/>
      <c r="AB92" s="2025"/>
      <c r="AC92" s="2025"/>
    </row>
    <row r="93" spans="1:29" ht="15" thickTop="1">
      <c r="A93" s="725"/>
      <c r="B93" s="663">
        <f>B33</f>
        <v>111</v>
      </c>
      <c r="C93" s="533"/>
      <c r="D93" s="533"/>
      <c r="E93" s="533"/>
      <c r="F93" s="533"/>
      <c r="G93" s="678"/>
      <c r="H93" s="679"/>
      <c r="I93" s="679"/>
      <c r="J93" s="679"/>
      <c r="K93" s="679"/>
      <c r="L93" s="680"/>
      <c r="M93" s="68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82"/>
      <c r="H94" s="683"/>
      <c r="I94" s="683"/>
      <c r="J94" s="683"/>
      <c r="K94" s="683"/>
      <c r="L94" s="683"/>
      <c r="M94" s="684"/>
      <c r="N94" s="2045"/>
      <c r="O94" s="2045"/>
      <c r="P94" s="2044"/>
      <c r="Q94" s="2037"/>
      <c r="R94" s="2025"/>
      <c r="S94" s="2025"/>
      <c r="T94" s="2025"/>
      <c r="U94" s="2025"/>
      <c r="V94" s="2025"/>
      <c r="W94" s="2025"/>
      <c r="X94" s="2025"/>
      <c r="Y94" s="2025"/>
      <c r="Z94" s="2025"/>
      <c r="AA94" s="2025"/>
      <c r="AB94" s="2025"/>
      <c r="AC94" s="2025"/>
    </row>
    <row r="95" spans="1:29" ht="15" thickTop="1">
      <c r="A95" s="725"/>
      <c r="B95" s="904">
        <f>B34</f>
        <v>111</v>
      </c>
      <c r="C95" s="533"/>
      <c r="D95" s="533"/>
      <c r="E95" s="533"/>
      <c r="F95" s="533"/>
      <c r="G95" s="678"/>
      <c r="H95" s="679"/>
      <c r="I95" s="679"/>
      <c r="J95" s="679"/>
      <c r="K95" s="679"/>
      <c r="L95" s="680"/>
      <c r="M95" s="681"/>
      <c r="N95" s="2045"/>
      <c r="O95" s="2045"/>
      <c r="P95" s="2084"/>
      <c r="Q95" s="2085"/>
      <c r="R95" s="2025"/>
      <c r="S95" s="2025"/>
      <c r="T95" s="2025"/>
      <c r="U95" s="2025"/>
      <c r="V95" s="2025"/>
      <c r="W95" s="2025"/>
      <c r="X95" s="2025"/>
      <c r="Y95" s="2025"/>
      <c r="Z95" s="2025"/>
      <c r="AA95" s="2025"/>
      <c r="AB95" s="2025"/>
      <c r="AC95" s="2025"/>
    </row>
    <row r="96" spans="1:29" ht="15.75" thickBot="1">
      <c r="A96" s="659"/>
      <c r="B96" s="668"/>
      <c r="C96" s="682"/>
      <c r="D96" s="682"/>
      <c r="E96" s="682"/>
      <c r="F96" s="682"/>
      <c r="G96" s="682"/>
      <c r="H96" s="683"/>
      <c r="I96" s="683"/>
      <c r="J96" s="683"/>
      <c r="K96" s="683"/>
      <c r="L96" s="683"/>
      <c r="M96" s="684"/>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03" t="s">
        <v>2024</v>
      </c>
      <c r="B1" s="3403"/>
      <c r="C1" s="3403"/>
      <c r="D1" s="3403"/>
      <c r="E1" s="3403"/>
      <c r="F1" s="3403"/>
      <c r="G1" s="3403"/>
      <c r="H1" s="3403"/>
      <c r="I1" s="3403"/>
      <c r="J1" s="3403"/>
      <c r="K1" s="3403"/>
      <c r="L1" s="3403"/>
      <c r="M1" s="3403"/>
      <c r="N1" s="3403"/>
      <c r="O1" s="3403"/>
      <c r="P1" s="3403"/>
      <c r="Q1" s="3403"/>
      <c r="R1" s="3403"/>
    </row>
    <row r="2" spans="1:18">
      <c r="A2" s="1720" t="s">
        <v>2026</v>
      </c>
      <c r="B2" s="1720"/>
      <c r="C2" s="1720"/>
      <c r="D2" s="1720"/>
      <c r="E2" s="1720"/>
      <c r="F2" s="1720"/>
      <c r="G2" s="1720"/>
      <c r="H2" s="1720"/>
      <c r="I2" s="1721"/>
      <c r="J2" s="1721"/>
      <c r="K2" s="1722" t="str">
        <f>"估价期日："&amp;TEXT(项目基本情况!D3,"yyyy年m月d日;;")</f>
        <v>估价期日：2021年8月16日</v>
      </c>
      <c r="L2" s="1720"/>
      <c r="M2" s="1720"/>
      <c r="N2" s="1720"/>
      <c r="O2" s="1720"/>
      <c r="P2" s="1720"/>
      <c r="Q2" s="1720"/>
      <c r="R2" s="1722" t="str">
        <f>"估价期日的国有建设用地使用权性质："&amp;项目基本情况!B16</f>
        <v>估价期日的国有建设用地使用权性质：</v>
      </c>
    </row>
    <row r="3" spans="1:18" ht="23.25" customHeight="1">
      <c r="A3" s="3404" t="s">
        <v>2015</v>
      </c>
      <c r="B3" s="3404" t="s">
        <v>2709</v>
      </c>
      <c r="C3" s="3405" t="s">
        <v>2016</v>
      </c>
      <c r="D3" s="3404" t="s">
        <v>2713</v>
      </c>
      <c r="E3" s="3399" t="s">
        <v>2017</v>
      </c>
      <c r="F3" s="3399"/>
      <c r="G3" s="3399"/>
      <c r="H3" s="3399" t="s">
        <v>2018</v>
      </c>
      <c r="I3" s="3399"/>
      <c r="J3" s="3399"/>
      <c r="K3" s="3405" t="s">
        <v>2019</v>
      </c>
      <c r="L3" s="3405" t="s">
        <v>2020</v>
      </c>
      <c r="M3" s="3404" t="s">
        <v>2710</v>
      </c>
      <c r="N3" s="3406" t="str">
        <f>"（分摊）"&amp;项目基本情况!B16&amp;"国有建设用地使用权面积/㎡"</f>
        <v>（分摊）国有建设用地使用权面积/㎡</v>
      </c>
      <c r="O3" s="3404" t="s">
        <v>2049</v>
      </c>
      <c r="P3" s="3405" t="s">
        <v>2029</v>
      </c>
      <c r="Q3" s="3405" t="s">
        <v>2050</v>
      </c>
      <c r="R3" s="3405" t="s">
        <v>2021</v>
      </c>
    </row>
    <row r="4" spans="1:18" ht="36.75" customHeight="1">
      <c r="A4" s="3404"/>
      <c r="B4" s="3404"/>
      <c r="C4" s="3405"/>
      <c r="D4" s="3404"/>
      <c r="E4" s="2489" t="s">
        <v>2028</v>
      </c>
      <c r="F4" s="2489" t="s">
        <v>2722</v>
      </c>
      <c r="G4" s="2489" t="s">
        <v>2022</v>
      </c>
      <c r="H4" s="2489" t="s">
        <v>2023</v>
      </c>
      <c r="I4" s="2489" t="s">
        <v>2723</v>
      </c>
      <c r="J4" s="2489" t="s">
        <v>2022</v>
      </c>
      <c r="K4" s="3405"/>
      <c r="L4" s="3405"/>
      <c r="M4" s="3404"/>
      <c r="N4" s="3406"/>
      <c r="O4" s="3404"/>
      <c r="P4" s="3405"/>
      <c r="Q4" s="3405"/>
      <c r="R4" s="3405"/>
    </row>
    <row r="5" spans="1:18" ht="135" customHeight="1">
      <c r="A5" s="1855" t="s">
        <v>2633</v>
      </c>
      <c r="B5" s="2582" t="s">
        <v>2631</v>
      </c>
      <c r="C5" s="2488">
        <v>22</v>
      </c>
      <c r="D5" s="2487" t="s">
        <v>2632</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t="str">
        <f>IF(项目基本情况!B16="出让",项目基本情况!D20,"——")</f>
        <v>——</v>
      </c>
      <c r="N5" s="1723">
        <f>项目基本情况!C22</f>
        <v>5500.65</v>
      </c>
      <c r="O5" s="1723">
        <f>项目基本情况!C21</f>
        <v>30803.628000000001</v>
      </c>
      <c r="P5" s="1723">
        <f ca="1">结果表!E42</f>
        <v>36234</v>
      </c>
      <c r="Q5" s="1723">
        <f ca="1">结果表!D42</f>
        <v>6470</v>
      </c>
      <c r="R5" s="1724">
        <f ca="1">结果表!C42</f>
        <v>19931</v>
      </c>
    </row>
    <row r="6" spans="1:18">
      <c r="A6" s="3400" t="str">
        <f>IF(项目基本情况!B9="市场价格","——","抵押价格")</f>
        <v>抵押价格</v>
      </c>
      <c r="B6" s="3401"/>
      <c r="C6" s="3401"/>
      <c r="D6" s="3401"/>
      <c r="E6" s="3401"/>
      <c r="F6" s="3401"/>
      <c r="G6" s="3401"/>
      <c r="H6" s="3401"/>
      <c r="I6" s="3401"/>
      <c r="J6" s="3401"/>
      <c r="K6" s="3401"/>
      <c r="L6" s="3401"/>
      <c r="M6" s="3401"/>
      <c r="N6" s="3401"/>
      <c r="O6" s="3401"/>
      <c r="P6" s="3401"/>
      <c r="Q6" s="3402"/>
      <c r="R6" s="1725" t="str">
        <f>结果表!O39</f>
        <v>——</v>
      </c>
    </row>
    <row r="7" spans="1:18">
      <c r="A7" s="3400" t="str">
        <f>IF(项目基本情况!B9="市场价格","——",IF(项目基本情况!E8="已注销及未注销","抵押担保权已注销时的抵押价格","——"))</f>
        <v>——</v>
      </c>
      <c r="B7" s="3401"/>
      <c r="C7" s="3401"/>
      <c r="D7" s="3401"/>
      <c r="E7" s="3401"/>
      <c r="F7" s="3401"/>
      <c r="G7" s="3401"/>
      <c r="H7" s="3401"/>
      <c r="I7" s="3401"/>
      <c r="J7" s="3401"/>
      <c r="K7" s="3401"/>
      <c r="L7" s="3401"/>
      <c r="M7" s="3401"/>
      <c r="N7" s="3401"/>
      <c r="O7" s="3401"/>
      <c r="P7" s="3401"/>
      <c r="Q7" s="3402"/>
      <c r="R7" s="1725" t="str">
        <f>结果表!O40</f>
        <v>——</v>
      </c>
    </row>
    <row r="8" spans="1:18">
      <c r="A8" s="3400">
        <f>IF(项目基本情况!B9="市场价格","——",项目基本情况!E9)</f>
        <v>0</v>
      </c>
      <c r="B8" s="3401"/>
      <c r="C8" s="3401"/>
      <c r="D8" s="3401"/>
      <c r="E8" s="3401"/>
      <c r="F8" s="3401"/>
      <c r="G8" s="3401"/>
      <c r="H8" s="3401"/>
      <c r="I8" s="3401"/>
      <c r="J8" s="3401"/>
      <c r="K8" s="3401"/>
      <c r="L8" s="3401"/>
      <c r="M8" s="3401"/>
      <c r="N8" s="3401"/>
      <c r="O8" s="3401"/>
      <c r="P8" s="3401"/>
      <c r="Q8" s="3402"/>
      <c r="R8" s="1725" t="str">
        <f>结果表!O41</f>
        <v>——</v>
      </c>
    </row>
    <row r="9" spans="1:18">
      <c r="A9" s="1726" t="s">
        <v>2027</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2014</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3"/>
    <col min="36" max="16384" width="9" style="1202"/>
  </cols>
  <sheetData>
    <row r="1" spans="1:45" s="253" customFormat="1" ht="14.25" customHeight="1" thickBot="1">
      <c r="A1" s="361"/>
      <c r="B1" s="2112" t="s">
        <v>2288</v>
      </c>
      <c r="C1" s="3708" t="s">
        <v>2289</v>
      </c>
      <c r="D1" s="3709"/>
      <c r="E1" s="3709"/>
      <c r="F1" s="3709"/>
      <c r="G1" s="3709"/>
      <c r="H1" s="3709"/>
      <c r="I1" s="3709"/>
      <c r="J1" s="3709"/>
      <c r="K1" s="3709"/>
      <c r="L1" s="3709"/>
      <c r="M1" s="3709"/>
      <c r="N1" s="3709"/>
      <c r="O1" s="3709"/>
      <c r="P1" s="3709"/>
      <c r="Q1" s="3709"/>
      <c r="R1" s="3709"/>
      <c r="S1" s="3710"/>
      <c r="T1" s="2112" t="s">
        <v>2290</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2891</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2890</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2889</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2902</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2888</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2887</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2292</v>
      </c>
      <c r="B17" s="2156" t="s">
        <v>2293</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7"/>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820</v>
      </c>
      <c r="B20" s="763">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3" t="e">
        <f>R22</f>
        <v>#DIV/0!</v>
      </c>
      <c r="C21" s="1900"/>
      <c r="D21" s="1900"/>
      <c r="E21" s="1900"/>
      <c r="F21" s="1900"/>
      <c r="G21" s="1900"/>
      <c r="H21" s="1900"/>
      <c r="I21" s="1900"/>
      <c r="J21" s="1900"/>
      <c r="K21" s="1900"/>
      <c r="L21" s="1900"/>
      <c r="M21" s="1900"/>
      <c r="N21" s="1900"/>
      <c r="O21" s="1900"/>
      <c r="P21" s="1900"/>
      <c r="Q21" s="1900"/>
      <c r="R21" s="2103"/>
      <c r="S21" s="1909"/>
    </row>
    <row r="22" spans="1:45">
      <c r="A22" s="787" t="s">
        <v>821</v>
      </c>
      <c r="B22" s="52">
        <f>SUM(B24:B10000)</f>
        <v>0</v>
      </c>
      <c r="C22" s="3705" t="s">
        <v>20</v>
      </c>
      <c r="D22" s="3706"/>
      <c r="E22" s="3706"/>
      <c r="F22" s="3706"/>
      <c r="G22" s="3706"/>
      <c r="H22" s="3706"/>
      <c r="I22" s="3706"/>
      <c r="J22" s="3706"/>
      <c r="K22" s="3706"/>
      <c r="L22" s="3706"/>
      <c r="M22" s="3706"/>
      <c r="N22" s="3706"/>
      <c r="O22" s="3706"/>
      <c r="P22" s="3706"/>
      <c r="Q22" s="3707"/>
      <c r="R22" s="482" t="e">
        <f>ROUND(S22*10000/B22,0)</f>
        <v>#DIV/0!</v>
      </c>
      <c r="S22" s="52">
        <f>SUM(S24:S10000)</f>
        <v>0</v>
      </c>
    </row>
    <row r="23" spans="1:45" s="1541" customFormat="1" ht="24">
      <c r="A23" s="17" t="s">
        <v>822</v>
      </c>
      <c r="B23" s="2859" t="s">
        <v>2910</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2" customFormat="1">
      <c r="A24" s="947" t="s">
        <v>826</v>
      </c>
      <c r="B24" s="947"/>
      <c r="C24" s="3274">
        <v>1</v>
      </c>
      <c r="D24" s="3275"/>
      <c r="E24" s="3274">
        <v>1</v>
      </c>
      <c r="F24" s="3275"/>
      <c r="G24" s="3274">
        <v>1</v>
      </c>
      <c r="H24" s="3275"/>
      <c r="I24" s="3274">
        <v>1</v>
      </c>
      <c r="J24" s="3275"/>
      <c r="K24" s="3274">
        <v>1</v>
      </c>
      <c r="L24" s="3275"/>
      <c r="M24" s="3274">
        <v>1</v>
      </c>
      <c r="N24" s="3275"/>
      <c r="O24" s="3274">
        <v>1</v>
      </c>
      <c r="P24" s="3275"/>
      <c r="Q24" s="3274">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4"/>
      <c r="S525" s="253"/>
    </row>
    <row r="526" spans="1:19">
      <c r="A526" s="253"/>
      <c r="B526" s="56"/>
      <c r="C526" s="56"/>
      <c r="D526" s="56"/>
      <c r="E526" s="56"/>
      <c r="F526" s="56"/>
      <c r="G526" s="56"/>
      <c r="H526" s="56"/>
      <c r="I526" s="56"/>
      <c r="J526" s="56"/>
      <c r="K526" s="56"/>
      <c r="L526" s="56"/>
      <c r="M526" s="56"/>
      <c r="N526" s="56"/>
      <c r="O526" s="56"/>
      <c r="P526" s="56"/>
      <c r="Q526" s="56"/>
      <c r="R526" s="2104"/>
      <c r="S526" s="253"/>
    </row>
    <row r="527" spans="1:19">
      <c r="A527" s="253"/>
      <c r="B527" s="56"/>
      <c r="C527" s="56"/>
      <c r="D527" s="56"/>
      <c r="E527" s="56"/>
      <c r="F527" s="56"/>
      <c r="G527" s="56"/>
      <c r="H527" s="56"/>
      <c r="I527" s="56"/>
      <c r="J527" s="56"/>
      <c r="K527" s="56"/>
      <c r="L527" s="56"/>
      <c r="M527" s="56"/>
      <c r="N527" s="56"/>
      <c r="O527" s="56"/>
      <c r="P527" s="56"/>
      <c r="Q527" s="56"/>
      <c r="R527" s="2104"/>
      <c r="S527" s="253"/>
    </row>
    <row r="528" spans="1:19">
      <c r="A528" s="253"/>
      <c r="B528" s="56"/>
      <c r="C528" s="56"/>
      <c r="D528" s="56"/>
      <c r="E528" s="56"/>
      <c r="F528" s="56"/>
      <c r="G528" s="56"/>
      <c r="H528" s="56"/>
      <c r="I528" s="56"/>
      <c r="J528" s="56"/>
      <c r="K528" s="56"/>
      <c r="L528" s="56"/>
      <c r="M528" s="56"/>
      <c r="N528" s="56"/>
      <c r="O528" s="56"/>
      <c r="P528" s="56"/>
      <c r="Q528" s="56"/>
      <c r="R528" s="2104"/>
      <c r="S528" s="253"/>
    </row>
    <row r="529" spans="1:19">
      <c r="A529" s="253"/>
      <c r="B529" s="56"/>
      <c r="C529" s="56"/>
      <c r="D529" s="56"/>
      <c r="E529" s="56"/>
      <c r="F529" s="56"/>
      <c r="G529" s="56"/>
      <c r="H529" s="56"/>
      <c r="I529" s="56"/>
      <c r="J529" s="56"/>
      <c r="K529" s="56"/>
      <c r="L529" s="56"/>
      <c r="M529" s="56"/>
      <c r="N529" s="56"/>
      <c r="O529" s="56"/>
      <c r="P529" s="56"/>
      <c r="Q529" s="56"/>
      <c r="R529" s="2104"/>
      <c r="S529" s="253"/>
    </row>
    <row r="530" spans="1:19">
      <c r="A530" s="253"/>
      <c r="B530" s="56"/>
      <c r="C530" s="56"/>
      <c r="D530" s="56"/>
      <c r="E530" s="56"/>
      <c r="F530" s="56"/>
      <c r="G530" s="56"/>
      <c r="H530" s="56"/>
      <c r="I530" s="56"/>
      <c r="J530" s="56"/>
      <c r="K530" s="56"/>
      <c r="L530" s="56"/>
      <c r="M530" s="56"/>
      <c r="N530" s="56"/>
      <c r="O530" s="56"/>
      <c r="P530" s="56"/>
      <c r="Q530" s="56"/>
      <c r="R530" s="2104"/>
      <c r="S530" s="253"/>
    </row>
    <row r="531" spans="1:19">
      <c r="A531" s="253"/>
      <c r="B531" s="56"/>
      <c r="C531" s="56"/>
      <c r="D531" s="56"/>
      <c r="E531" s="56"/>
      <c r="F531" s="56"/>
      <c r="G531" s="56"/>
      <c r="H531" s="56"/>
      <c r="I531" s="56"/>
      <c r="J531" s="56"/>
      <c r="K531" s="56"/>
      <c r="L531" s="56"/>
      <c r="M531" s="56"/>
      <c r="N531" s="56"/>
      <c r="O531" s="56"/>
      <c r="P531" s="56"/>
      <c r="Q531" s="56"/>
      <c r="R531" s="2104"/>
      <c r="S531" s="253"/>
    </row>
    <row r="532" spans="1:19">
      <c r="A532" s="253"/>
      <c r="B532" s="56"/>
      <c r="C532" s="56"/>
      <c r="D532" s="56"/>
      <c r="E532" s="56"/>
      <c r="F532" s="56"/>
      <c r="G532" s="56"/>
      <c r="H532" s="56"/>
      <c r="I532" s="56"/>
      <c r="J532" s="56"/>
      <c r="K532" s="56"/>
      <c r="L532" s="56"/>
      <c r="M532" s="56"/>
      <c r="N532" s="56"/>
      <c r="O532" s="56"/>
      <c r="P532" s="56"/>
      <c r="Q532" s="56"/>
      <c r="R532" s="2104"/>
      <c r="S532" s="253"/>
    </row>
    <row r="533" spans="1:19">
      <c r="A533" s="253"/>
      <c r="B533" s="56"/>
      <c r="C533" s="56"/>
      <c r="D533" s="56"/>
      <c r="E533" s="56"/>
      <c r="F533" s="56"/>
      <c r="G533" s="56"/>
      <c r="H533" s="56"/>
      <c r="I533" s="56"/>
      <c r="J533" s="56"/>
      <c r="K533" s="56"/>
      <c r="L533" s="56"/>
      <c r="M533" s="56"/>
      <c r="N533" s="56"/>
      <c r="O533" s="56"/>
      <c r="P533" s="56"/>
      <c r="Q533" s="56"/>
      <c r="R533" s="2104"/>
      <c r="S533" s="253"/>
    </row>
    <row r="534" spans="1:19">
      <c r="A534" s="253"/>
      <c r="B534" s="56"/>
      <c r="C534" s="56"/>
      <c r="D534" s="56"/>
      <c r="E534" s="56"/>
      <c r="F534" s="56"/>
      <c r="G534" s="56"/>
      <c r="H534" s="56"/>
      <c r="I534" s="56"/>
      <c r="J534" s="56"/>
      <c r="K534" s="56"/>
      <c r="L534" s="56"/>
      <c r="M534" s="56"/>
      <c r="N534" s="56"/>
      <c r="O534" s="56"/>
      <c r="P534" s="56"/>
      <c r="Q534" s="56"/>
      <c r="R534" s="2104"/>
      <c r="S534" s="253"/>
    </row>
    <row r="535" spans="1:19">
      <c r="A535" s="253"/>
      <c r="B535" s="56"/>
      <c r="C535" s="56"/>
      <c r="D535" s="56"/>
      <c r="E535" s="56"/>
      <c r="F535" s="56"/>
      <c r="G535" s="56"/>
      <c r="H535" s="56"/>
      <c r="I535" s="56"/>
      <c r="J535" s="56"/>
      <c r="K535" s="56"/>
      <c r="L535" s="56"/>
      <c r="M535" s="56"/>
      <c r="N535" s="56"/>
      <c r="O535" s="56"/>
      <c r="P535" s="56"/>
      <c r="Q535" s="56"/>
      <c r="R535" s="2104"/>
      <c r="S535" s="253"/>
    </row>
    <row r="536" spans="1:19">
      <c r="A536" s="253"/>
      <c r="B536" s="56"/>
      <c r="C536" s="56"/>
      <c r="D536" s="56"/>
      <c r="E536" s="56"/>
      <c r="F536" s="56"/>
      <c r="G536" s="56"/>
      <c r="H536" s="56"/>
      <c r="I536" s="56"/>
      <c r="J536" s="56"/>
      <c r="K536" s="56"/>
      <c r="L536" s="56"/>
      <c r="M536" s="56"/>
      <c r="N536" s="56"/>
      <c r="O536" s="56"/>
      <c r="P536" s="56"/>
      <c r="Q536" s="56"/>
      <c r="R536" s="2104"/>
      <c r="S536" s="253"/>
    </row>
    <row r="537" spans="1:19">
      <c r="A537" s="253"/>
      <c r="B537" s="56"/>
      <c r="C537" s="56"/>
      <c r="D537" s="56"/>
      <c r="E537" s="56"/>
      <c r="F537" s="56"/>
      <c r="G537" s="56"/>
      <c r="H537" s="56"/>
      <c r="I537" s="56"/>
      <c r="J537" s="56"/>
      <c r="K537" s="56"/>
      <c r="L537" s="56"/>
      <c r="M537" s="56"/>
      <c r="N537" s="56"/>
      <c r="O537" s="56"/>
      <c r="P537" s="56"/>
      <c r="Q537" s="56"/>
      <c r="R537" s="2104"/>
      <c r="S537" s="253"/>
    </row>
    <row r="538" spans="1:19">
      <c r="A538" s="253"/>
      <c r="B538" s="56"/>
      <c r="C538" s="56"/>
      <c r="D538" s="56"/>
      <c r="E538" s="56"/>
      <c r="F538" s="56"/>
      <c r="G538" s="56"/>
      <c r="H538" s="56"/>
      <c r="I538" s="56"/>
      <c r="J538" s="56"/>
      <c r="K538" s="56"/>
      <c r="L538" s="56"/>
      <c r="M538" s="56"/>
      <c r="N538" s="56"/>
      <c r="O538" s="56"/>
      <c r="P538" s="56"/>
      <c r="Q538" s="56"/>
      <c r="R538" s="2104"/>
      <c r="S538" s="253"/>
    </row>
    <row r="539" spans="1:19">
      <c r="A539" s="253"/>
      <c r="B539" s="56"/>
      <c r="C539" s="56"/>
      <c r="D539" s="56"/>
      <c r="E539" s="56"/>
      <c r="F539" s="56"/>
      <c r="G539" s="56"/>
      <c r="H539" s="56"/>
      <c r="I539" s="56"/>
      <c r="J539" s="56"/>
      <c r="K539" s="56"/>
      <c r="L539" s="56"/>
      <c r="M539" s="56"/>
      <c r="N539" s="56"/>
      <c r="O539" s="56"/>
      <c r="P539" s="56"/>
      <c r="Q539" s="56"/>
      <c r="R539" s="2104"/>
      <c r="S539" s="253"/>
    </row>
    <row r="540" spans="1:19">
      <c r="A540" s="253"/>
      <c r="B540" s="56"/>
      <c r="C540" s="56"/>
      <c r="D540" s="56"/>
      <c r="E540" s="56"/>
      <c r="F540" s="56"/>
      <c r="G540" s="56"/>
      <c r="H540" s="56"/>
      <c r="I540" s="56"/>
      <c r="J540" s="56"/>
      <c r="K540" s="56"/>
      <c r="L540" s="56"/>
      <c r="M540" s="56"/>
      <c r="N540" s="56"/>
      <c r="O540" s="56"/>
      <c r="P540" s="56"/>
      <c r="Q540" s="56"/>
      <c r="R540" s="2104"/>
      <c r="S540" s="253"/>
    </row>
    <row r="541" spans="1:19">
      <c r="A541" s="253"/>
      <c r="B541" s="56"/>
      <c r="C541" s="56"/>
      <c r="D541" s="56"/>
      <c r="E541" s="56"/>
      <c r="F541" s="56"/>
      <c r="G541" s="56"/>
      <c r="H541" s="56"/>
      <c r="I541" s="56"/>
      <c r="J541" s="56"/>
      <c r="K541" s="56"/>
      <c r="L541" s="56"/>
      <c r="M541" s="56"/>
      <c r="N541" s="56"/>
      <c r="O541" s="56"/>
      <c r="P541" s="56"/>
      <c r="Q541" s="56"/>
      <c r="R541" s="2104"/>
      <c r="S541" s="253"/>
    </row>
    <row r="542" spans="1:19">
      <c r="A542" s="253"/>
      <c r="B542" s="56"/>
      <c r="C542" s="56"/>
      <c r="D542" s="56"/>
      <c r="E542" s="56"/>
      <c r="F542" s="56"/>
      <c r="G542" s="56"/>
      <c r="H542" s="56"/>
      <c r="I542" s="56"/>
      <c r="J542" s="56"/>
      <c r="K542" s="56"/>
      <c r="L542" s="56"/>
      <c r="M542" s="56"/>
      <c r="N542" s="56"/>
      <c r="O542" s="56"/>
      <c r="P542" s="56"/>
      <c r="Q542" s="56"/>
      <c r="R542" s="2104"/>
      <c r="S542" s="253"/>
    </row>
    <row r="543" spans="1:19">
      <c r="A543" s="253"/>
      <c r="B543" s="56"/>
      <c r="C543" s="56"/>
      <c r="D543" s="56"/>
      <c r="E543" s="56"/>
      <c r="F543" s="56"/>
      <c r="G543" s="56"/>
      <c r="H543" s="56"/>
      <c r="I543" s="56"/>
      <c r="J543" s="56"/>
      <c r="K543" s="56"/>
      <c r="L543" s="56"/>
      <c r="M543" s="56"/>
      <c r="N543" s="56"/>
      <c r="O543" s="56"/>
      <c r="P543" s="56"/>
      <c r="Q543" s="56"/>
      <c r="R543" s="2104"/>
      <c r="S543" s="253"/>
    </row>
    <row r="544" spans="1:19">
      <c r="A544" s="253"/>
      <c r="B544" s="56"/>
      <c r="C544" s="56"/>
      <c r="D544" s="56"/>
      <c r="E544" s="56"/>
      <c r="F544" s="56"/>
      <c r="G544" s="56"/>
      <c r="H544" s="56"/>
      <c r="I544" s="56"/>
      <c r="J544" s="56"/>
      <c r="K544" s="56"/>
      <c r="L544" s="56"/>
      <c r="M544" s="56"/>
      <c r="N544" s="56"/>
      <c r="O544" s="56"/>
      <c r="P544" s="56"/>
      <c r="Q544" s="56"/>
      <c r="R544" s="2104"/>
      <c r="S544" s="253"/>
    </row>
    <row r="545" spans="1:19">
      <c r="A545" s="253"/>
      <c r="B545" s="56"/>
      <c r="C545" s="56"/>
      <c r="D545" s="56"/>
      <c r="E545" s="56"/>
      <c r="F545" s="56"/>
      <c r="G545" s="56"/>
      <c r="H545" s="56"/>
      <c r="I545" s="56"/>
      <c r="J545" s="56"/>
      <c r="K545" s="56"/>
      <c r="L545" s="56"/>
      <c r="M545" s="56"/>
      <c r="N545" s="56"/>
      <c r="O545" s="56"/>
      <c r="P545" s="56"/>
      <c r="Q545" s="56"/>
      <c r="R545" s="2104"/>
      <c r="S545" s="253"/>
    </row>
    <row r="546" spans="1:19">
      <c r="A546" s="253"/>
      <c r="B546" s="56"/>
      <c r="C546" s="56"/>
      <c r="D546" s="56"/>
      <c r="E546" s="56"/>
      <c r="F546" s="56"/>
      <c r="G546" s="56"/>
      <c r="H546" s="56"/>
      <c r="I546" s="56"/>
      <c r="J546" s="56"/>
      <c r="K546" s="56"/>
      <c r="L546" s="56"/>
      <c r="M546" s="56"/>
      <c r="N546" s="56"/>
      <c r="O546" s="56"/>
      <c r="P546" s="56"/>
      <c r="Q546" s="56"/>
      <c r="R546" s="2104"/>
      <c r="S546" s="253"/>
    </row>
    <row r="547" spans="1:19">
      <c r="A547" s="253"/>
      <c r="B547" s="56"/>
      <c r="C547" s="56"/>
      <c r="D547" s="56"/>
      <c r="E547" s="56"/>
      <c r="F547" s="56"/>
      <c r="G547" s="56"/>
      <c r="H547" s="56"/>
      <c r="I547" s="56"/>
      <c r="J547" s="56"/>
      <c r="K547" s="56"/>
      <c r="L547" s="56"/>
      <c r="M547" s="56"/>
      <c r="N547" s="56"/>
      <c r="O547" s="56"/>
      <c r="P547" s="56"/>
      <c r="Q547" s="56"/>
      <c r="R547" s="2104"/>
      <c r="S547" s="253"/>
    </row>
    <row r="548" spans="1:19">
      <c r="A548" s="253"/>
      <c r="B548" s="56"/>
      <c r="C548" s="56"/>
      <c r="D548" s="56"/>
      <c r="E548" s="56"/>
      <c r="F548" s="56"/>
      <c r="G548" s="56"/>
      <c r="H548" s="56"/>
      <c r="I548" s="56"/>
      <c r="J548" s="56"/>
      <c r="K548" s="56"/>
      <c r="L548" s="56"/>
      <c r="M548" s="56"/>
      <c r="N548" s="56"/>
      <c r="O548" s="56"/>
      <c r="P548" s="56"/>
      <c r="Q548" s="56"/>
      <c r="R548" s="2104"/>
      <c r="S548" s="253"/>
    </row>
    <row r="549" spans="1:19">
      <c r="A549" s="253"/>
      <c r="B549" s="56"/>
      <c r="C549" s="56"/>
      <c r="D549" s="56"/>
      <c r="E549" s="56"/>
      <c r="F549" s="56"/>
      <c r="G549" s="56"/>
      <c r="H549" s="56"/>
      <c r="I549" s="56"/>
      <c r="J549" s="56"/>
      <c r="K549" s="56"/>
      <c r="L549" s="56"/>
      <c r="M549" s="56"/>
      <c r="N549" s="56"/>
      <c r="O549" s="56"/>
      <c r="P549" s="56"/>
      <c r="Q549" s="56"/>
      <c r="R549" s="2104"/>
      <c r="S549" s="253"/>
    </row>
    <row r="550" spans="1:19">
      <c r="A550" s="253"/>
      <c r="B550" s="56"/>
      <c r="C550" s="56"/>
      <c r="D550" s="56"/>
      <c r="E550" s="56"/>
      <c r="F550" s="56"/>
      <c r="G550" s="56"/>
      <c r="H550" s="56"/>
      <c r="I550" s="56"/>
      <c r="J550" s="56"/>
      <c r="K550" s="56"/>
      <c r="L550" s="56"/>
      <c r="M550" s="56"/>
      <c r="N550" s="56"/>
      <c r="O550" s="56"/>
      <c r="P550" s="56"/>
      <c r="Q550" s="56"/>
      <c r="R550" s="2104"/>
      <c r="S550" s="253"/>
    </row>
    <row r="551" spans="1:19">
      <c r="A551" s="253"/>
      <c r="B551" s="56"/>
      <c r="C551" s="56"/>
      <c r="D551" s="56"/>
      <c r="E551" s="56"/>
      <c r="F551" s="56"/>
      <c r="G551" s="56"/>
      <c r="H551" s="56"/>
      <c r="I551" s="56"/>
      <c r="J551" s="56"/>
      <c r="K551" s="56"/>
      <c r="L551" s="56"/>
      <c r="M551" s="56"/>
      <c r="N551" s="56"/>
      <c r="O551" s="56"/>
      <c r="P551" s="56"/>
      <c r="Q551" s="56"/>
      <c r="R551" s="2104"/>
      <c r="S551" s="253"/>
    </row>
    <row r="552" spans="1:19">
      <c r="A552" s="253"/>
      <c r="B552" s="56"/>
      <c r="C552" s="56"/>
      <c r="D552" s="56"/>
      <c r="E552" s="56"/>
      <c r="F552" s="56"/>
      <c r="G552" s="56"/>
      <c r="H552" s="56"/>
      <c r="I552" s="56"/>
      <c r="J552" s="56"/>
      <c r="K552" s="56"/>
      <c r="L552" s="56"/>
      <c r="M552" s="56"/>
      <c r="N552" s="56"/>
      <c r="O552" s="56"/>
      <c r="P552" s="56"/>
      <c r="Q552" s="56"/>
      <c r="R552" s="2104"/>
      <c r="S552" s="253"/>
    </row>
    <row r="553" spans="1:19">
      <c r="A553" s="253"/>
      <c r="B553" s="56"/>
      <c r="C553" s="56"/>
      <c r="D553" s="56"/>
      <c r="E553" s="56"/>
      <c r="F553" s="56"/>
      <c r="G553" s="56"/>
      <c r="H553" s="56"/>
      <c r="I553" s="56"/>
      <c r="J553" s="56"/>
      <c r="K553" s="56"/>
      <c r="L553" s="56"/>
      <c r="M553" s="56"/>
      <c r="N553" s="56"/>
      <c r="O553" s="56"/>
      <c r="P553" s="56"/>
      <c r="Q553" s="56"/>
      <c r="R553" s="2104"/>
      <c r="S553" s="253"/>
    </row>
    <row r="554" spans="1:19">
      <c r="A554" s="253"/>
      <c r="B554" s="56"/>
      <c r="C554" s="56"/>
      <c r="D554" s="56"/>
      <c r="E554" s="56"/>
      <c r="F554" s="56"/>
      <c r="G554" s="56"/>
      <c r="H554" s="56"/>
      <c r="I554" s="56"/>
      <c r="J554" s="56"/>
      <c r="K554" s="56"/>
      <c r="L554" s="56"/>
      <c r="M554" s="56"/>
      <c r="N554" s="56"/>
      <c r="O554" s="56"/>
      <c r="P554" s="56"/>
      <c r="Q554" s="56"/>
      <c r="R554" s="2104"/>
      <c r="S554" s="253"/>
    </row>
    <row r="555" spans="1:19">
      <c r="A555" s="253"/>
      <c r="B555" s="56"/>
      <c r="C555" s="56"/>
      <c r="D555" s="56"/>
      <c r="E555" s="56"/>
      <c r="F555" s="56"/>
      <c r="G555" s="56"/>
      <c r="H555" s="56"/>
      <c r="I555" s="56"/>
      <c r="J555" s="56"/>
      <c r="K555" s="56"/>
      <c r="L555" s="56"/>
      <c r="M555" s="56"/>
      <c r="N555" s="56"/>
      <c r="O555" s="56"/>
      <c r="P555" s="56"/>
      <c r="Q555" s="56"/>
      <c r="R555" s="2104"/>
      <c r="S555" s="253"/>
    </row>
    <row r="556" spans="1:19">
      <c r="A556" s="253"/>
      <c r="B556" s="56"/>
      <c r="C556" s="56"/>
      <c r="D556" s="56"/>
      <c r="E556" s="56"/>
      <c r="F556" s="56"/>
      <c r="G556" s="56"/>
      <c r="H556" s="56"/>
      <c r="I556" s="56"/>
      <c r="J556" s="56"/>
      <c r="K556" s="56"/>
      <c r="L556" s="56"/>
      <c r="M556" s="56"/>
      <c r="N556" s="56"/>
      <c r="O556" s="56"/>
      <c r="P556" s="56"/>
      <c r="Q556" s="56"/>
      <c r="R556" s="2104"/>
      <c r="S556" s="253"/>
    </row>
    <row r="557" spans="1:19">
      <c r="A557" s="253"/>
      <c r="B557" s="56"/>
      <c r="C557" s="56"/>
      <c r="D557" s="56"/>
      <c r="E557" s="56"/>
      <c r="F557" s="56"/>
      <c r="G557" s="56"/>
      <c r="H557" s="56"/>
      <c r="I557" s="56"/>
      <c r="J557" s="56"/>
      <c r="K557" s="56"/>
      <c r="L557" s="56"/>
      <c r="M557" s="56"/>
      <c r="N557" s="56"/>
      <c r="O557" s="56"/>
      <c r="P557" s="56"/>
      <c r="Q557" s="56"/>
      <c r="R557" s="2104"/>
      <c r="S557" s="253"/>
    </row>
    <row r="558" spans="1:19">
      <c r="A558" s="253"/>
      <c r="B558" s="56"/>
      <c r="C558" s="56"/>
      <c r="D558" s="56"/>
      <c r="E558" s="56"/>
      <c r="F558" s="56"/>
      <c r="G558" s="56"/>
      <c r="H558" s="56"/>
      <c r="I558" s="56"/>
      <c r="J558" s="56"/>
      <c r="K558" s="56"/>
      <c r="L558" s="56"/>
      <c r="M558" s="56"/>
      <c r="N558" s="56"/>
      <c r="O558" s="56"/>
      <c r="P558" s="56"/>
      <c r="Q558" s="56"/>
      <c r="R558" s="2104"/>
      <c r="S558" s="253"/>
    </row>
    <row r="559" spans="1:19">
      <c r="A559" s="253"/>
      <c r="B559" s="56"/>
      <c r="C559" s="56"/>
      <c r="D559" s="56"/>
      <c r="E559" s="56"/>
      <c r="F559" s="56"/>
      <c r="G559" s="56"/>
      <c r="H559" s="56"/>
      <c r="I559" s="56"/>
      <c r="J559" s="56"/>
      <c r="K559" s="56"/>
      <c r="L559" s="56"/>
      <c r="M559" s="56"/>
      <c r="N559" s="56"/>
      <c r="O559" s="56"/>
      <c r="P559" s="56"/>
      <c r="Q559" s="56"/>
      <c r="R559" s="2104"/>
      <c r="S559" s="253"/>
    </row>
    <row r="560" spans="1:19">
      <c r="A560" s="253"/>
      <c r="B560" s="56"/>
      <c r="C560" s="56"/>
      <c r="D560" s="56"/>
      <c r="E560" s="56"/>
      <c r="F560" s="56"/>
      <c r="G560" s="56"/>
      <c r="H560" s="56"/>
      <c r="I560" s="56"/>
      <c r="J560" s="56"/>
      <c r="K560" s="56"/>
      <c r="L560" s="56"/>
      <c r="M560" s="56"/>
      <c r="N560" s="56"/>
      <c r="O560" s="56"/>
      <c r="P560" s="56"/>
      <c r="Q560" s="56"/>
      <c r="R560" s="2104"/>
      <c r="S560" s="253"/>
    </row>
    <row r="561" spans="1:19">
      <c r="A561" s="253"/>
      <c r="B561" s="56"/>
      <c r="C561" s="56"/>
      <c r="D561" s="56"/>
      <c r="E561" s="56"/>
      <c r="F561" s="56"/>
      <c r="G561" s="56"/>
      <c r="H561" s="56"/>
      <c r="I561" s="56"/>
      <c r="J561" s="56"/>
      <c r="K561" s="56"/>
      <c r="L561" s="56"/>
      <c r="M561" s="56"/>
      <c r="N561" s="56"/>
      <c r="O561" s="56"/>
      <c r="P561" s="56"/>
      <c r="Q561" s="56"/>
      <c r="R561" s="2104"/>
      <c r="S561" s="253"/>
    </row>
    <row r="562" spans="1:19">
      <c r="A562" s="253"/>
      <c r="B562" s="56"/>
      <c r="C562" s="56"/>
      <c r="D562" s="56"/>
      <c r="E562" s="56"/>
      <c r="F562" s="56"/>
      <c r="G562" s="56"/>
      <c r="H562" s="56"/>
      <c r="I562" s="56"/>
      <c r="J562" s="56"/>
      <c r="K562" s="56"/>
      <c r="L562" s="56"/>
      <c r="M562" s="56"/>
      <c r="N562" s="56"/>
      <c r="O562" s="56"/>
      <c r="P562" s="56"/>
      <c r="Q562" s="56"/>
      <c r="R562" s="2104"/>
      <c r="S562" s="253"/>
    </row>
    <row r="563" spans="1:19">
      <c r="A563" s="253"/>
      <c r="B563" s="56"/>
      <c r="C563" s="56"/>
      <c r="D563" s="56"/>
      <c r="E563" s="56"/>
      <c r="F563" s="56"/>
      <c r="G563" s="56"/>
      <c r="H563" s="56"/>
      <c r="I563" s="56"/>
      <c r="J563" s="56"/>
      <c r="K563" s="56"/>
      <c r="L563" s="56"/>
      <c r="M563" s="56"/>
      <c r="N563" s="56"/>
      <c r="O563" s="56"/>
      <c r="P563" s="56"/>
      <c r="Q563" s="56"/>
      <c r="R563" s="2104"/>
      <c r="S563" s="253"/>
    </row>
    <row r="564" spans="1:19">
      <c r="A564" s="253"/>
      <c r="B564" s="56"/>
      <c r="C564" s="56"/>
      <c r="D564" s="56"/>
      <c r="E564" s="56"/>
      <c r="F564" s="56"/>
      <c r="G564" s="56"/>
      <c r="H564" s="56"/>
      <c r="I564" s="56"/>
      <c r="J564" s="56"/>
      <c r="K564" s="56"/>
      <c r="L564" s="56"/>
      <c r="M564" s="56"/>
      <c r="N564" s="56"/>
      <c r="O564" s="56"/>
      <c r="P564" s="56"/>
      <c r="Q564" s="56"/>
      <c r="R564" s="2104"/>
      <c r="S564" s="253"/>
    </row>
    <row r="565" spans="1:19">
      <c r="A565" s="253"/>
      <c r="B565" s="56"/>
      <c r="C565" s="56"/>
      <c r="D565" s="56"/>
      <c r="E565" s="56"/>
      <c r="F565" s="56"/>
      <c r="G565" s="56"/>
      <c r="H565" s="56"/>
      <c r="I565" s="56"/>
      <c r="J565" s="56"/>
      <c r="K565" s="56"/>
      <c r="L565" s="56"/>
      <c r="M565" s="56"/>
      <c r="N565" s="56"/>
      <c r="O565" s="56"/>
      <c r="P565" s="56"/>
      <c r="Q565" s="56"/>
      <c r="R565" s="2104"/>
      <c r="S565" s="253"/>
    </row>
    <row r="566" spans="1:19">
      <c r="A566" s="253"/>
      <c r="B566" s="56"/>
      <c r="C566" s="56"/>
      <c r="D566" s="56"/>
      <c r="E566" s="56"/>
      <c r="F566" s="56"/>
      <c r="G566" s="56"/>
      <c r="H566" s="56"/>
      <c r="I566" s="56"/>
      <c r="J566" s="56"/>
      <c r="K566" s="56"/>
      <c r="L566" s="56"/>
      <c r="M566" s="56"/>
      <c r="N566" s="56"/>
      <c r="O566" s="56"/>
      <c r="P566" s="56"/>
      <c r="Q566" s="56"/>
      <c r="R566" s="2104"/>
      <c r="S566" s="253"/>
    </row>
    <row r="567" spans="1:19">
      <c r="A567" s="253"/>
      <c r="B567" s="56"/>
      <c r="C567" s="56"/>
      <c r="D567" s="56"/>
      <c r="E567" s="56"/>
      <c r="F567" s="56"/>
      <c r="G567" s="56"/>
      <c r="H567" s="56"/>
      <c r="I567" s="56"/>
      <c r="J567" s="56"/>
      <c r="K567" s="56"/>
      <c r="L567" s="56"/>
      <c r="M567" s="56"/>
      <c r="N567" s="56"/>
      <c r="O567" s="56"/>
      <c r="P567" s="56"/>
      <c r="Q567" s="56"/>
      <c r="R567" s="2104"/>
      <c r="S567" s="253"/>
    </row>
    <row r="568" spans="1:19">
      <c r="A568" s="253"/>
      <c r="B568" s="56"/>
      <c r="C568" s="56"/>
      <c r="D568" s="56"/>
      <c r="E568" s="56"/>
      <c r="F568" s="56"/>
      <c r="G568" s="56"/>
      <c r="H568" s="56"/>
      <c r="I568" s="56"/>
      <c r="J568" s="56"/>
      <c r="K568" s="56"/>
      <c r="L568" s="56"/>
      <c r="M568" s="56"/>
      <c r="N568" s="56"/>
      <c r="O568" s="56"/>
      <c r="P568" s="56"/>
      <c r="Q568" s="56"/>
      <c r="R568" s="2104"/>
      <c r="S568" s="253"/>
    </row>
    <row r="569" spans="1:19">
      <c r="A569" s="253"/>
      <c r="B569" s="56"/>
      <c r="C569" s="56"/>
      <c r="D569" s="56"/>
      <c r="E569" s="56"/>
      <c r="F569" s="56"/>
      <c r="G569" s="56"/>
      <c r="H569" s="56"/>
      <c r="I569" s="56"/>
      <c r="J569" s="56"/>
      <c r="K569" s="56"/>
      <c r="L569" s="56"/>
      <c r="M569" s="56"/>
      <c r="N569" s="56"/>
      <c r="O569" s="56"/>
      <c r="P569" s="56"/>
      <c r="Q569" s="56"/>
      <c r="R569" s="2104"/>
      <c r="S569" s="253"/>
    </row>
    <row r="570" spans="1:19">
      <c r="A570" s="253"/>
      <c r="B570" s="56"/>
      <c r="C570" s="56"/>
      <c r="D570" s="56"/>
      <c r="E570" s="56"/>
      <c r="F570" s="56"/>
      <c r="G570" s="56"/>
      <c r="H570" s="56"/>
      <c r="I570" s="56"/>
      <c r="J570" s="56"/>
      <c r="K570" s="56"/>
      <c r="L570" s="56"/>
      <c r="M570" s="56"/>
      <c r="N570" s="56"/>
      <c r="O570" s="56"/>
      <c r="P570" s="56"/>
      <c r="Q570" s="56"/>
      <c r="R570" s="2104"/>
      <c r="S570" s="253"/>
    </row>
    <row r="571" spans="1:19">
      <c r="A571" s="253"/>
      <c r="B571" s="56"/>
      <c r="C571" s="56"/>
      <c r="D571" s="56"/>
      <c r="E571" s="56"/>
      <c r="F571" s="56"/>
      <c r="G571" s="56"/>
      <c r="H571" s="56"/>
      <c r="I571" s="56"/>
      <c r="J571" s="56"/>
      <c r="K571" s="56"/>
      <c r="L571" s="56"/>
      <c r="M571" s="56"/>
      <c r="N571" s="56"/>
      <c r="O571" s="56"/>
      <c r="P571" s="56"/>
      <c r="Q571" s="56"/>
      <c r="R571" s="2104"/>
      <c r="S571" s="253"/>
    </row>
    <row r="572" spans="1:19">
      <c r="A572" s="253"/>
      <c r="B572" s="56"/>
      <c r="C572" s="56"/>
      <c r="D572" s="56"/>
      <c r="E572" s="56"/>
      <c r="F572" s="56"/>
      <c r="G572" s="56"/>
      <c r="H572" s="56"/>
      <c r="I572" s="56"/>
      <c r="J572" s="56"/>
      <c r="K572" s="56"/>
      <c r="L572" s="56"/>
      <c r="M572" s="56"/>
      <c r="N572" s="56"/>
      <c r="O572" s="56"/>
      <c r="P572" s="56"/>
      <c r="Q572" s="56"/>
      <c r="R572" s="2104"/>
      <c r="S572" s="253"/>
    </row>
    <row r="573" spans="1:19">
      <c r="A573" s="253"/>
      <c r="B573" s="56"/>
      <c r="C573" s="56"/>
      <c r="D573" s="56"/>
      <c r="E573" s="56"/>
      <c r="F573" s="56"/>
      <c r="G573" s="56"/>
      <c r="H573" s="56"/>
      <c r="I573" s="56"/>
      <c r="J573" s="56"/>
      <c r="K573" s="56"/>
      <c r="L573" s="56"/>
      <c r="M573" s="56"/>
      <c r="N573" s="56"/>
      <c r="O573" s="56"/>
      <c r="P573" s="56"/>
      <c r="Q573" s="56"/>
      <c r="R573" s="2104"/>
      <c r="S573" s="253"/>
    </row>
    <row r="574" spans="1:19">
      <c r="A574" s="253"/>
      <c r="B574" s="56"/>
      <c r="C574" s="56"/>
      <c r="D574" s="56"/>
      <c r="E574" s="56"/>
      <c r="F574" s="56"/>
      <c r="G574" s="56"/>
      <c r="H574" s="56"/>
      <c r="I574" s="56"/>
      <c r="J574" s="56"/>
      <c r="K574" s="56"/>
      <c r="L574" s="56"/>
      <c r="M574" s="56"/>
      <c r="N574" s="56"/>
      <c r="O574" s="56"/>
      <c r="P574" s="56"/>
      <c r="Q574" s="56"/>
      <c r="R574" s="2104"/>
      <c r="S574" s="253"/>
    </row>
    <row r="575" spans="1:19">
      <c r="A575" s="253"/>
      <c r="B575" s="56"/>
      <c r="C575" s="56"/>
      <c r="D575" s="56"/>
      <c r="E575" s="56"/>
      <c r="F575" s="56"/>
      <c r="G575" s="56"/>
      <c r="H575" s="56"/>
      <c r="I575" s="56"/>
      <c r="J575" s="56"/>
      <c r="K575" s="56"/>
      <c r="L575" s="56"/>
      <c r="M575" s="56"/>
      <c r="N575" s="56"/>
      <c r="O575" s="56"/>
      <c r="P575" s="56"/>
      <c r="Q575" s="56"/>
      <c r="R575" s="2104"/>
      <c r="S575" s="253"/>
    </row>
    <row r="576" spans="1:19">
      <c r="A576" s="253"/>
      <c r="B576" s="56"/>
      <c r="C576" s="56"/>
      <c r="D576" s="56"/>
      <c r="E576" s="56"/>
      <c r="F576" s="56"/>
      <c r="G576" s="56"/>
      <c r="H576" s="56"/>
      <c r="I576" s="56"/>
      <c r="J576" s="56"/>
      <c r="K576" s="56"/>
      <c r="L576" s="56"/>
      <c r="M576" s="56"/>
      <c r="N576" s="56"/>
      <c r="O576" s="56"/>
      <c r="P576" s="56"/>
      <c r="Q576" s="56"/>
      <c r="R576" s="2104"/>
      <c r="S576" s="253"/>
    </row>
    <row r="577" spans="1:19">
      <c r="A577" s="253"/>
      <c r="B577" s="56"/>
      <c r="C577" s="56"/>
      <c r="D577" s="56"/>
      <c r="E577" s="56"/>
      <c r="F577" s="56"/>
      <c r="G577" s="56"/>
      <c r="H577" s="56"/>
      <c r="I577" s="56"/>
      <c r="J577" s="56"/>
      <c r="K577" s="56"/>
      <c r="L577" s="56"/>
      <c r="M577" s="56"/>
      <c r="N577" s="56"/>
      <c r="O577" s="56"/>
      <c r="P577" s="56"/>
      <c r="Q577" s="56"/>
      <c r="R577" s="2104"/>
      <c r="S577" s="253"/>
    </row>
    <row r="578" spans="1:19">
      <c r="A578" s="253"/>
      <c r="B578" s="56"/>
      <c r="C578" s="56"/>
      <c r="D578" s="56"/>
      <c r="E578" s="56"/>
      <c r="F578" s="56"/>
      <c r="G578" s="56"/>
      <c r="H578" s="56"/>
      <c r="I578" s="56"/>
      <c r="J578" s="56"/>
      <c r="K578" s="56"/>
      <c r="L578" s="56"/>
      <c r="M578" s="56"/>
      <c r="N578" s="56"/>
      <c r="O578" s="56"/>
      <c r="P578" s="56"/>
      <c r="Q578" s="56"/>
      <c r="R578" s="2104"/>
      <c r="S578" s="253"/>
    </row>
    <row r="579" spans="1:19">
      <c r="A579" s="253"/>
      <c r="B579" s="56"/>
      <c r="C579" s="56"/>
      <c r="D579" s="56"/>
      <c r="E579" s="56"/>
      <c r="F579" s="56"/>
      <c r="G579" s="56"/>
      <c r="H579" s="56"/>
      <c r="I579" s="56"/>
      <c r="J579" s="56"/>
      <c r="K579" s="56"/>
      <c r="L579" s="56"/>
      <c r="M579" s="56"/>
      <c r="N579" s="56"/>
      <c r="O579" s="56"/>
      <c r="P579" s="56"/>
      <c r="Q579" s="56"/>
      <c r="R579" s="2104"/>
      <c r="S579" s="253"/>
    </row>
    <row r="580" spans="1:19">
      <c r="A580" s="253"/>
      <c r="B580" s="56"/>
      <c r="C580" s="56"/>
      <c r="D580" s="56"/>
      <c r="E580" s="56"/>
      <c r="F580" s="56"/>
      <c r="G580" s="56"/>
      <c r="H580" s="56"/>
      <c r="I580" s="56"/>
      <c r="J580" s="56"/>
      <c r="K580" s="56"/>
      <c r="L580" s="56"/>
      <c r="M580" s="56"/>
      <c r="N580" s="56"/>
      <c r="O580" s="56"/>
      <c r="P580" s="56"/>
      <c r="Q580" s="56"/>
      <c r="R580" s="2104"/>
      <c r="S580" s="253"/>
    </row>
    <row r="581" spans="1:19">
      <c r="A581" s="253"/>
      <c r="B581" s="56"/>
      <c r="C581" s="56"/>
      <c r="D581" s="56"/>
      <c r="E581" s="56"/>
      <c r="F581" s="56"/>
      <c r="G581" s="56"/>
      <c r="H581" s="56"/>
      <c r="I581" s="56"/>
      <c r="J581" s="56"/>
      <c r="K581" s="56"/>
      <c r="L581" s="56"/>
      <c r="M581" s="56"/>
      <c r="N581" s="56"/>
      <c r="O581" s="56"/>
      <c r="P581" s="56"/>
      <c r="Q581" s="56"/>
      <c r="R581" s="2104"/>
      <c r="S581" s="253"/>
    </row>
    <row r="582" spans="1:19">
      <c r="A582" s="253"/>
      <c r="B582" s="56"/>
      <c r="C582" s="56"/>
      <c r="D582" s="56"/>
      <c r="E582" s="56"/>
      <c r="F582" s="56"/>
      <c r="G582" s="56"/>
      <c r="H582" s="56"/>
      <c r="I582" s="56"/>
      <c r="J582" s="56"/>
      <c r="K582" s="56"/>
      <c r="L582" s="56"/>
      <c r="M582" s="56"/>
      <c r="N582" s="56"/>
      <c r="O582" s="56"/>
      <c r="P582" s="56"/>
      <c r="Q582" s="56"/>
      <c r="R582" s="2104"/>
      <c r="S582" s="253"/>
    </row>
    <row r="583" spans="1:19">
      <c r="A583" s="253"/>
      <c r="B583" s="56"/>
      <c r="C583" s="56"/>
      <c r="D583" s="56"/>
      <c r="E583" s="56"/>
      <c r="F583" s="56"/>
      <c r="G583" s="56"/>
      <c r="H583" s="56"/>
      <c r="I583" s="56"/>
      <c r="J583" s="56"/>
      <c r="K583" s="56"/>
      <c r="L583" s="56"/>
      <c r="M583" s="56"/>
      <c r="N583" s="56"/>
      <c r="O583" s="56"/>
      <c r="P583" s="56"/>
      <c r="Q583" s="56"/>
      <c r="R583" s="2104"/>
      <c r="S583" s="253"/>
    </row>
    <row r="584" spans="1:19">
      <c r="A584" s="253"/>
      <c r="B584" s="56"/>
      <c r="C584" s="56"/>
      <c r="D584" s="56"/>
      <c r="E584" s="56"/>
      <c r="F584" s="56"/>
      <c r="G584" s="56"/>
      <c r="H584" s="56"/>
      <c r="I584" s="56"/>
      <c r="J584" s="56"/>
      <c r="K584" s="56"/>
      <c r="L584" s="56"/>
      <c r="M584" s="56"/>
      <c r="N584" s="56"/>
      <c r="O584" s="56"/>
      <c r="P584" s="56"/>
      <c r="Q584" s="56"/>
      <c r="R584" s="2104"/>
      <c r="S584" s="253"/>
    </row>
    <row r="585" spans="1:19">
      <c r="A585" s="253"/>
      <c r="B585" s="56"/>
      <c r="C585" s="56"/>
      <c r="D585" s="56"/>
      <c r="E585" s="56"/>
      <c r="F585" s="56"/>
      <c r="G585" s="56"/>
      <c r="H585" s="56"/>
      <c r="I585" s="56"/>
      <c r="J585" s="56"/>
      <c r="K585" s="56"/>
      <c r="L585" s="56"/>
      <c r="M585" s="56"/>
      <c r="N585" s="56"/>
      <c r="O585" s="56"/>
      <c r="P585" s="56"/>
      <c r="Q585" s="56"/>
      <c r="R585" s="2104"/>
      <c r="S585" s="253"/>
    </row>
    <row r="586" spans="1:19">
      <c r="A586" s="253"/>
      <c r="B586" s="56"/>
      <c r="C586" s="56"/>
      <c r="D586" s="56"/>
      <c r="E586" s="56"/>
      <c r="F586" s="56"/>
      <c r="G586" s="56"/>
      <c r="H586" s="56"/>
      <c r="I586" s="56"/>
      <c r="J586" s="56"/>
      <c r="K586" s="56"/>
      <c r="L586" s="56"/>
      <c r="M586" s="56"/>
      <c r="N586" s="56"/>
      <c r="O586" s="56"/>
      <c r="P586" s="56"/>
      <c r="Q586" s="56"/>
      <c r="R586" s="2104"/>
      <c r="S586" s="253"/>
    </row>
    <row r="587" spans="1:19">
      <c r="A587" s="253"/>
      <c r="B587" s="56"/>
      <c r="C587" s="56"/>
      <c r="D587" s="56"/>
      <c r="E587" s="56"/>
      <c r="F587" s="56"/>
      <c r="G587" s="56"/>
      <c r="H587" s="56"/>
      <c r="I587" s="56"/>
      <c r="J587" s="56"/>
      <c r="K587" s="56"/>
      <c r="L587" s="56"/>
      <c r="M587" s="56"/>
      <c r="N587" s="56"/>
      <c r="O587" s="56"/>
      <c r="P587" s="56"/>
      <c r="Q587" s="56"/>
      <c r="R587" s="2104"/>
      <c r="S587" s="253"/>
    </row>
    <row r="588" spans="1:19">
      <c r="A588" s="253"/>
      <c r="B588" s="56"/>
      <c r="C588" s="56"/>
      <c r="D588" s="56"/>
      <c r="E588" s="56"/>
      <c r="F588" s="56"/>
      <c r="G588" s="56"/>
      <c r="H588" s="56"/>
      <c r="I588" s="56"/>
      <c r="J588" s="56"/>
      <c r="K588" s="56"/>
      <c r="L588" s="56"/>
      <c r="M588" s="56"/>
      <c r="N588" s="56"/>
      <c r="O588" s="56"/>
      <c r="P588" s="56"/>
      <c r="Q588" s="56"/>
      <c r="R588" s="2104"/>
      <c r="S588" s="253"/>
    </row>
    <row r="589" spans="1:19">
      <c r="A589" s="253"/>
      <c r="B589" s="56"/>
      <c r="C589" s="56"/>
      <c r="D589" s="56"/>
      <c r="E589" s="56"/>
      <c r="F589" s="56"/>
      <c r="G589" s="56"/>
      <c r="H589" s="56"/>
      <c r="I589" s="56"/>
      <c r="J589" s="56"/>
      <c r="K589" s="56"/>
      <c r="L589" s="56"/>
      <c r="M589" s="56"/>
      <c r="N589" s="56"/>
      <c r="O589" s="56"/>
      <c r="P589" s="56"/>
      <c r="Q589" s="56"/>
      <c r="R589" s="2104"/>
      <c r="S589" s="253"/>
    </row>
    <row r="590" spans="1:19">
      <c r="A590" s="253"/>
      <c r="B590" s="56"/>
      <c r="C590" s="56"/>
      <c r="D590" s="56"/>
      <c r="E590" s="56"/>
      <c r="F590" s="56"/>
      <c r="G590" s="56"/>
      <c r="H590" s="56"/>
      <c r="I590" s="56"/>
      <c r="J590" s="56"/>
      <c r="K590" s="56"/>
      <c r="L590" s="56"/>
      <c r="M590" s="56"/>
      <c r="N590" s="56"/>
      <c r="O590" s="56"/>
      <c r="P590" s="56"/>
      <c r="Q590" s="56"/>
      <c r="R590" s="2104"/>
      <c r="S590" s="253"/>
    </row>
    <row r="591" spans="1:19">
      <c r="A591" s="253"/>
      <c r="B591" s="56"/>
      <c r="C591" s="56"/>
      <c r="D591" s="56"/>
      <c r="E591" s="56"/>
      <c r="F591" s="56"/>
      <c r="G591" s="56"/>
      <c r="H591" s="56"/>
      <c r="I591" s="56"/>
      <c r="J591" s="56"/>
      <c r="K591" s="56"/>
      <c r="L591" s="56"/>
      <c r="M591" s="56"/>
      <c r="N591" s="56"/>
      <c r="O591" s="56"/>
      <c r="P591" s="56"/>
      <c r="Q591" s="56"/>
      <c r="R591" s="2104"/>
      <c r="S591" s="253"/>
    </row>
    <row r="592" spans="1:19">
      <c r="A592" s="253"/>
      <c r="B592" s="56"/>
      <c r="C592" s="56"/>
      <c r="D592" s="56"/>
      <c r="E592" s="56"/>
      <c r="F592" s="56"/>
      <c r="G592" s="56"/>
      <c r="H592" s="56"/>
      <c r="I592" s="56"/>
      <c r="J592" s="56"/>
      <c r="K592" s="56"/>
      <c r="L592" s="56"/>
      <c r="M592" s="56"/>
      <c r="N592" s="56"/>
      <c r="O592" s="56"/>
      <c r="P592" s="56"/>
      <c r="Q592" s="56"/>
      <c r="R592" s="2104"/>
      <c r="S592" s="253"/>
    </row>
    <row r="593" spans="1:19">
      <c r="A593" s="253"/>
      <c r="B593" s="56"/>
      <c r="C593" s="56"/>
      <c r="D593" s="56"/>
      <c r="E593" s="56"/>
      <c r="F593" s="56"/>
      <c r="G593" s="56"/>
      <c r="H593" s="56"/>
      <c r="I593" s="56"/>
      <c r="J593" s="56"/>
      <c r="K593" s="56"/>
      <c r="L593" s="56"/>
      <c r="M593" s="56"/>
      <c r="N593" s="56"/>
      <c r="O593" s="56"/>
      <c r="P593" s="56"/>
      <c r="Q593" s="56"/>
      <c r="R593" s="2104"/>
      <c r="S593" s="253"/>
    </row>
    <row r="594" spans="1:19">
      <c r="A594" s="253"/>
      <c r="B594" s="56"/>
      <c r="C594" s="56"/>
      <c r="D594" s="56"/>
      <c r="E594" s="56"/>
      <c r="F594" s="56"/>
      <c r="G594" s="56"/>
      <c r="H594" s="56"/>
      <c r="I594" s="56"/>
      <c r="J594" s="56"/>
      <c r="K594" s="56"/>
      <c r="L594" s="56"/>
      <c r="M594" s="56"/>
      <c r="N594" s="56"/>
      <c r="O594" s="56"/>
      <c r="P594" s="56"/>
      <c r="Q594" s="56"/>
      <c r="R594" s="2104"/>
      <c r="S594" s="253"/>
    </row>
    <row r="595" spans="1:19">
      <c r="A595" s="253"/>
      <c r="B595" s="56"/>
      <c r="C595" s="56"/>
      <c r="D595" s="56"/>
      <c r="E595" s="56"/>
      <c r="F595" s="56"/>
      <c r="G595" s="56"/>
      <c r="H595" s="56"/>
      <c r="I595" s="56"/>
      <c r="J595" s="56"/>
      <c r="K595" s="56"/>
      <c r="L595" s="56"/>
      <c r="M595" s="56"/>
      <c r="N595" s="56"/>
      <c r="O595" s="56"/>
      <c r="P595" s="56"/>
      <c r="Q595" s="56"/>
      <c r="R595" s="2104"/>
      <c r="S595" s="253"/>
    </row>
    <row r="596" spans="1:19">
      <c r="A596" s="253"/>
      <c r="B596" s="56"/>
      <c r="C596" s="56"/>
      <c r="D596" s="56"/>
      <c r="E596" s="56"/>
      <c r="F596" s="56"/>
      <c r="G596" s="56"/>
      <c r="H596" s="56"/>
      <c r="I596" s="56"/>
      <c r="J596" s="56"/>
      <c r="K596" s="56"/>
      <c r="L596" s="56"/>
      <c r="M596" s="56"/>
      <c r="N596" s="56"/>
      <c r="O596" s="56"/>
      <c r="P596" s="56"/>
      <c r="Q596" s="56"/>
      <c r="R596" s="2104"/>
      <c r="S596" s="253"/>
    </row>
    <row r="597" spans="1:19">
      <c r="A597" s="253"/>
      <c r="B597" s="56"/>
      <c r="C597" s="56"/>
      <c r="D597" s="56"/>
      <c r="E597" s="56"/>
      <c r="F597" s="56"/>
      <c r="G597" s="56"/>
      <c r="H597" s="56"/>
      <c r="I597" s="56"/>
      <c r="J597" s="56"/>
      <c r="K597" s="56"/>
      <c r="L597" s="56"/>
      <c r="M597" s="56"/>
      <c r="N597" s="56"/>
      <c r="O597" s="56"/>
      <c r="P597" s="56"/>
      <c r="Q597" s="56"/>
      <c r="R597" s="2104"/>
      <c r="S597" s="253"/>
    </row>
    <row r="598" spans="1:19">
      <c r="A598" s="253"/>
      <c r="B598" s="56"/>
      <c r="C598" s="56"/>
      <c r="D598" s="56"/>
      <c r="E598" s="56"/>
      <c r="F598" s="56"/>
      <c r="G598" s="56"/>
      <c r="H598" s="56"/>
      <c r="I598" s="56"/>
      <c r="J598" s="56"/>
      <c r="K598" s="56"/>
      <c r="L598" s="56"/>
      <c r="M598" s="56"/>
      <c r="N598" s="56"/>
      <c r="O598" s="56"/>
      <c r="P598" s="56"/>
      <c r="Q598" s="56"/>
      <c r="R598" s="2104"/>
      <c r="S598" s="253"/>
    </row>
    <row r="599" spans="1:19">
      <c r="A599" s="253"/>
      <c r="B599" s="56"/>
      <c r="C599" s="56"/>
      <c r="D599" s="56"/>
      <c r="E599" s="56"/>
      <c r="F599" s="56"/>
      <c r="G599" s="56"/>
      <c r="H599" s="56"/>
      <c r="I599" s="56"/>
      <c r="J599" s="56"/>
      <c r="K599" s="56"/>
      <c r="L599" s="56"/>
      <c r="M599" s="56"/>
      <c r="N599" s="56"/>
      <c r="O599" s="56"/>
      <c r="P599" s="56"/>
      <c r="Q599" s="56"/>
      <c r="R599" s="2104"/>
      <c r="S599" s="253"/>
    </row>
    <row r="600" spans="1:19">
      <c r="A600" s="253"/>
      <c r="B600" s="56"/>
      <c r="C600" s="56"/>
      <c r="D600" s="56"/>
      <c r="E600" s="56"/>
      <c r="F600" s="56"/>
      <c r="G600" s="56"/>
      <c r="H600" s="56"/>
      <c r="I600" s="56"/>
      <c r="J600" s="56"/>
      <c r="K600" s="56"/>
      <c r="L600" s="56"/>
      <c r="M600" s="56"/>
      <c r="N600" s="56"/>
      <c r="O600" s="56"/>
      <c r="P600" s="56"/>
      <c r="Q600" s="56"/>
      <c r="R600" s="2104"/>
      <c r="S600" s="253"/>
    </row>
    <row r="601" spans="1:19">
      <c r="A601" s="253"/>
      <c r="B601" s="56"/>
      <c r="C601" s="56"/>
      <c r="D601" s="56"/>
      <c r="E601" s="56"/>
      <c r="F601" s="56"/>
      <c r="G601" s="56"/>
      <c r="H601" s="56"/>
      <c r="I601" s="56"/>
      <c r="J601" s="56"/>
      <c r="K601" s="56"/>
      <c r="L601" s="56"/>
      <c r="M601" s="56"/>
      <c r="N601" s="56"/>
      <c r="O601" s="56"/>
      <c r="P601" s="56"/>
      <c r="Q601" s="56"/>
      <c r="R601" s="2104"/>
      <c r="S601" s="253"/>
    </row>
    <row r="602" spans="1:19">
      <c r="A602" s="253"/>
      <c r="B602" s="56"/>
      <c r="C602" s="56"/>
      <c r="D602" s="56"/>
      <c r="E602" s="56"/>
      <c r="F602" s="56"/>
      <c r="G602" s="56"/>
      <c r="H602" s="56"/>
      <c r="I602" s="56"/>
      <c r="J602" s="56"/>
      <c r="K602" s="56"/>
      <c r="L602" s="56"/>
      <c r="M602" s="56"/>
      <c r="N602" s="56"/>
      <c r="O602" s="56"/>
      <c r="P602" s="56"/>
      <c r="Q602" s="56"/>
      <c r="R602" s="2104"/>
      <c r="S602" s="253"/>
    </row>
    <row r="603" spans="1:19">
      <c r="A603" s="253"/>
      <c r="B603" s="56"/>
      <c r="C603" s="56"/>
      <c r="D603" s="56"/>
      <c r="E603" s="56"/>
      <c r="F603" s="56"/>
      <c r="G603" s="56"/>
      <c r="H603" s="56"/>
      <c r="I603" s="56"/>
      <c r="J603" s="56"/>
      <c r="K603" s="56"/>
      <c r="L603" s="56"/>
      <c r="M603" s="56"/>
      <c r="N603" s="56"/>
      <c r="O603" s="56"/>
      <c r="P603" s="56"/>
      <c r="Q603" s="56"/>
      <c r="R603" s="2104"/>
      <c r="S603" s="253"/>
    </row>
    <row r="604" spans="1:19">
      <c r="A604" s="253"/>
      <c r="B604" s="56"/>
      <c r="C604" s="56"/>
      <c r="D604" s="56"/>
      <c r="E604" s="56"/>
      <c r="F604" s="56"/>
      <c r="G604" s="56"/>
      <c r="H604" s="56"/>
      <c r="I604" s="56"/>
      <c r="J604" s="56"/>
      <c r="K604" s="56"/>
      <c r="L604" s="56"/>
      <c r="M604" s="56"/>
      <c r="N604" s="56"/>
      <c r="O604" s="56"/>
      <c r="P604" s="56"/>
      <c r="Q604" s="56"/>
      <c r="R604" s="2104"/>
      <c r="S604" s="253"/>
    </row>
    <row r="605" spans="1:19">
      <c r="A605" s="253"/>
      <c r="B605" s="56"/>
      <c r="C605" s="56"/>
      <c r="D605" s="56"/>
      <c r="E605" s="56"/>
      <c r="F605" s="56"/>
      <c r="G605" s="56"/>
      <c r="H605" s="56"/>
      <c r="I605" s="56"/>
      <c r="J605" s="56"/>
      <c r="K605" s="56"/>
      <c r="L605" s="56"/>
      <c r="M605" s="56"/>
      <c r="N605" s="56"/>
      <c r="O605" s="56"/>
      <c r="P605" s="56"/>
      <c r="Q605" s="56"/>
      <c r="R605" s="2104"/>
      <c r="S605" s="253"/>
    </row>
    <row r="606" spans="1:19">
      <c r="A606" s="253"/>
      <c r="B606" s="56"/>
      <c r="C606" s="56"/>
      <c r="D606" s="56"/>
      <c r="E606" s="56"/>
      <c r="F606" s="56"/>
      <c r="G606" s="56"/>
      <c r="H606" s="56"/>
      <c r="I606" s="56"/>
      <c r="J606" s="56"/>
      <c r="K606" s="56"/>
      <c r="L606" s="56"/>
      <c r="M606" s="56"/>
      <c r="N606" s="56"/>
      <c r="O606" s="56"/>
      <c r="P606" s="56"/>
      <c r="Q606" s="56"/>
      <c r="R606" s="2104"/>
      <c r="S606" s="253"/>
    </row>
    <row r="607" spans="1:19">
      <c r="A607" s="253"/>
      <c r="B607" s="56"/>
      <c r="C607" s="56"/>
      <c r="D607" s="56"/>
      <c r="E607" s="56"/>
      <c r="F607" s="56"/>
      <c r="G607" s="56"/>
      <c r="H607" s="56"/>
      <c r="I607" s="56"/>
      <c r="J607" s="56"/>
      <c r="K607" s="56"/>
      <c r="L607" s="56"/>
      <c r="M607" s="56"/>
      <c r="N607" s="56"/>
      <c r="O607" s="56"/>
      <c r="P607" s="56"/>
      <c r="Q607" s="56"/>
      <c r="R607" s="2104"/>
      <c r="S607" s="253"/>
    </row>
    <row r="608" spans="1:19">
      <c r="A608" s="253"/>
      <c r="B608" s="56"/>
      <c r="C608" s="56"/>
      <c r="D608" s="56"/>
      <c r="E608" s="56"/>
      <c r="F608" s="56"/>
      <c r="G608" s="56"/>
      <c r="H608" s="56"/>
      <c r="I608" s="56"/>
      <c r="J608" s="56"/>
      <c r="K608" s="56"/>
      <c r="L608" s="56"/>
      <c r="M608" s="56"/>
      <c r="N608" s="56"/>
      <c r="O608" s="56"/>
      <c r="P608" s="56"/>
      <c r="Q608" s="56"/>
      <c r="R608" s="2104"/>
      <c r="S608" s="253"/>
    </row>
    <row r="609" spans="1:19">
      <c r="A609" s="253"/>
      <c r="B609" s="56"/>
      <c r="C609" s="56"/>
      <c r="D609" s="56"/>
      <c r="E609" s="56"/>
      <c r="F609" s="56"/>
      <c r="G609" s="56"/>
      <c r="H609" s="56"/>
      <c r="I609" s="56"/>
      <c r="J609" s="56"/>
      <c r="K609" s="56"/>
      <c r="L609" s="56"/>
      <c r="M609" s="56"/>
      <c r="N609" s="56"/>
      <c r="O609" s="56"/>
      <c r="P609" s="56"/>
      <c r="Q609" s="56"/>
      <c r="R609" s="2104"/>
      <c r="S609" s="253"/>
    </row>
    <row r="610" spans="1:19">
      <c r="A610" s="253"/>
      <c r="B610" s="56"/>
      <c r="C610" s="56"/>
      <c r="D610" s="56"/>
      <c r="E610" s="56"/>
      <c r="F610" s="56"/>
      <c r="G610" s="56"/>
      <c r="H610" s="56"/>
      <c r="I610" s="56"/>
      <c r="J610" s="56"/>
      <c r="K610" s="56"/>
      <c r="L610" s="56"/>
      <c r="M610" s="56"/>
      <c r="N610" s="56"/>
      <c r="O610" s="56"/>
      <c r="P610" s="56"/>
      <c r="Q610" s="56"/>
      <c r="R610" s="2104"/>
      <c r="S610" s="253"/>
    </row>
    <row r="611" spans="1:19">
      <c r="A611" s="253"/>
      <c r="B611" s="56"/>
      <c r="C611" s="56"/>
      <c r="D611" s="56"/>
      <c r="E611" s="56"/>
      <c r="F611" s="56"/>
      <c r="G611" s="56"/>
      <c r="H611" s="56"/>
      <c r="I611" s="56"/>
      <c r="J611" s="56"/>
      <c r="K611" s="56"/>
      <c r="L611" s="56"/>
      <c r="M611" s="56"/>
      <c r="N611" s="56"/>
      <c r="O611" s="56"/>
      <c r="P611" s="56"/>
      <c r="Q611" s="56"/>
      <c r="R611" s="2104"/>
      <c r="S611" s="253"/>
    </row>
    <row r="612" spans="1:19">
      <c r="A612" s="253"/>
      <c r="B612" s="56"/>
      <c r="C612" s="56"/>
      <c r="D612" s="56"/>
      <c r="E612" s="56"/>
      <c r="F612" s="56"/>
      <c r="G612" s="56"/>
      <c r="H612" s="56"/>
      <c r="I612" s="56"/>
      <c r="J612" s="56"/>
      <c r="K612" s="56"/>
      <c r="L612" s="56"/>
      <c r="M612" s="56"/>
      <c r="N612" s="56"/>
      <c r="O612" s="56"/>
      <c r="P612" s="56"/>
      <c r="Q612" s="56"/>
      <c r="R612" s="2104"/>
      <c r="S612" s="253"/>
    </row>
    <row r="613" spans="1:19">
      <c r="A613" s="253"/>
      <c r="B613" s="56"/>
      <c r="C613" s="56"/>
      <c r="D613" s="56"/>
      <c r="E613" s="56"/>
      <c r="F613" s="56"/>
      <c r="G613" s="56"/>
      <c r="H613" s="56"/>
      <c r="I613" s="56"/>
      <c r="J613" s="56"/>
      <c r="K613" s="56"/>
      <c r="L613" s="56"/>
      <c r="M613" s="56"/>
      <c r="N613" s="56"/>
      <c r="O613" s="56"/>
      <c r="P613" s="56"/>
      <c r="Q613" s="56"/>
      <c r="R613" s="2104"/>
      <c r="S613" s="253"/>
    </row>
    <row r="614" spans="1:19">
      <c r="A614" s="253"/>
      <c r="B614" s="56"/>
      <c r="C614" s="56"/>
      <c r="D614" s="56"/>
      <c r="E614" s="56"/>
      <c r="F614" s="56"/>
      <c r="G614" s="56"/>
      <c r="H614" s="56"/>
      <c r="I614" s="56"/>
      <c r="J614" s="56"/>
      <c r="K614" s="56"/>
      <c r="L614" s="56"/>
      <c r="M614" s="56"/>
      <c r="N614" s="56"/>
      <c r="O614" s="56"/>
      <c r="P614" s="56"/>
      <c r="Q614" s="56"/>
      <c r="R614" s="2104"/>
      <c r="S614" s="253"/>
    </row>
    <row r="615" spans="1:19">
      <c r="A615" s="253"/>
      <c r="B615" s="56"/>
      <c r="C615" s="56"/>
      <c r="D615" s="56"/>
      <c r="E615" s="56"/>
      <c r="F615" s="56"/>
      <c r="G615" s="56"/>
      <c r="H615" s="56"/>
      <c r="I615" s="56"/>
      <c r="J615" s="56"/>
      <c r="K615" s="56"/>
      <c r="L615" s="56"/>
      <c r="M615" s="56"/>
      <c r="N615" s="56"/>
      <c r="O615" s="56"/>
      <c r="P615" s="56"/>
      <c r="Q615" s="56"/>
      <c r="R615" s="2104"/>
      <c r="S615" s="253"/>
    </row>
    <row r="616" spans="1:19">
      <c r="A616" s="253"/>
      <c r="B616" s="56"/>
      <c r="C616" s="56"/>
      <c r="D616" s="56"/>
      <c r="E616" s="56"/>
      <c r="F616" s="56"/>
      <c r="G616" s="56"/>
      <c r="H616" s="56"/>
      <c r="I616" s="56"/>
      <c r="J616" s="56"/>
      <c r="K616" s="56"/>
      <c r="L616" s="56"/>
      <c r="M616" s="56"/>
      <c r="N616" s="56"/>
      <c r="O616" s="56"/>
      <c r="P616" s="56"/>
      <c r="Q616" s="56"/>
      <c r="R616" s="2104"/>
      <c r="S616" s="253"/>
    </row>
    <row r="617" spans="1:19">
      <c r="A617" s="253"/>
      <c r="B617" s="56"/>
      <c r="C617" s="56"/>
      <c r="D617" s="56"/>
      <c r="E617" s="56"/>
      <c r="F617" s="56"/>
      <c r="G617" s="56"/>
      <c r="H617" s="56"/>
      <c r="I617" s="56"/>
      <c r="J617" s="56"/>
      <c r="K617" s="56"/>
      <c r="L617" s="56"/>
      <c r="M617" s="56"/>
      <c r="N617" s="56"/>
      <c r="O617" s="56"/>
      <c r="P617" s="56"/>
      <c r="Q617" s="56"/>
      <c r="R617" s="2104"/>
      <c r="S617" s="253"/>
    </row>
    <row r="618" spans="1:19">
      <c r="A618" s="253"/>
      <c r="B618" s="56"/>
      <c r="C618" s="56"/>
      <c r="D618" s="56"/>
      <c r="E618" s="56"/>
      <c r="F618" s="56"/>
      <c r="G618" s="56"/>
      <c r="H618" s="56"/>
      <c r="I618" s="56"/>
      <c r="J618" s="56"/>
      <c r="K618" s="56"/>
      <c r="L618" s="56"/>
      <c r="M618" s="56"/>
      <c r="N618" s="56"/>
      <c r="O618" s="56"/>
      <c r="P618" s="56"/>
      <c r="Q618" s="56"/>
      <c r="R618" s="2104"/>
      <c r="S618" s="253"/>
    </row>
    <row r="619" spans="1:19">
      <c r="A619" s="253"/>
      <c r="B619" s="56"/>
      <c r="C619" s="56"/>
      <c r="D619" s="56"/>
      <c r="E619" s="56"/>
      <c r="F619" s="56"/>
      <c r="G619" s="56"/>
      <c r="H619" s="56"/>
      <c r="I619" s="56"/>
      <c r="J619" s="56"/>
      <c r="K619" s="56"/>
      <c r="L619" s="56"/>
      <c r="M619" s="56"/>
      <c r="N619" s="56"/>
      <c r="O619" s="56"/>
      <c r="P619" s="56"/>
      <c r="Q619" s="56"/>
      <c r="R619" s="2104"/>
      <c r="S619" s="253"/>
    </row>
    <row r="620" spans="1:19">
      <c r="A620" s="253"/>
      <c r="B620" s="56"/>
      <c r="C620" s="56"/>
      <c r="D620" s="56"/>
      <c r="E620" s="56"/>
      <c r="F620" s="56"/>
      <c r="G620" s="56"/>
      <c r="H620" s="56"/>
      <c r="I620" s="56"/>
      <c r="J620" s="56"/>
      <c r="K620" s="56"/>
      <c r="L620" s="56"/>
      <c r="M620" s="56"/>
      <c r="N620" s="56"/>
      <c r="O620" s="56"/>
      <c r="P620" s="56"/>
      <c r="Q620" s="56"/>
      <c r="R620" s="2104"/>
      <c r="S620" s="253"/>
    </row>
    <row r="621" spans="1:19">
      <c r="A621" s="253"/>
      <c r="B621" s="56"/>
      <c r="C621" s="56"/>
      <c r="D621" s="56"/>
      <c r="E621" s="56"/>
      <c r="F621" s="56"/>
      <c r="G621" s="56"/>
      <c r="H621" s="56"/>
      <c r="I621" s="56"/>
      <c r="J621" s="56"/>
      <c r="K621" s="56"/>
      <c r="L621" s="56"/>
      <c r="M621" s="56"/>
      <c r="N621" s="56"/>
      <c r="O621" s="56"/>
      <c r="P621" s="56"/>
      <c r="Q621" s="56"/>
      <c r="R621" s="2104"/>
      <c r="S621" s="253"/>
    </row>
    <row r="622" spans="1:19">
      <c r="A622" s="253"/>
      <c r="B622" s="56"/>
      <c r="C622" s="56"/>
      <c r="D622" s="56"/>
      <c r="E622" s="56"/>
      <c r="F622" s="56"/>
      <c r="G622" s="56"/>
      <c r="H622" s="56"/>
      <c r="I622" s="56"/>
      <c r="J622" s="56"/>
      <c r="K622" s="56"/>
      <c r="L622" s="56"/>
      <c r="M622" s="56"/>
      <c r="N622" s="56"/>
      <c r="O622" s="56"/>
      <c r="P622" s="56"/>
      <c r="Q622" s="56"/>
      <c r="R622" s="2104"/>
      <c r="S622" s="253"/>
    </row>
    <row r="623" spans="1:19">
      <c r="A623" s="253"/>
      <c r="B623" s="56"/>
      <c r="C623" s="56"/>
      <c r="D623" s="56"/>
      <c r="E623" s="56"/>
      <c r="F623" s="56"/>
      <c r="G623" s="56"/>
      <c r="H623" s="56"/>
      <c r="I623" s="56"/>
      <c r="J623" s="56"/>
      <c r="K623" s="56"/>
      <c r="L623" s="56"/>
      <c r="M623" s="56"/>
      <c r="N623" s="56"/>
      <c r="O623" s="56"/>
      <c r="P623" s="56"/>
      <c r="Q623" s="56"/>
      <c r="R623" s="2104"/>
      <c r="S623" s="253"/>
    </row>
    <row r="624" spans="1:19">
      <c r="A624" s="253"/>
      <c r="B624" s="56"/>
      <c r="C624" s="56"/>
      <c r="D624" s="56"/>
      <c r="E624" s="56"/>
      <c r="F624" s="56"/>
      <c r="G624" s="56"/>
      <c r="H624" s="56"/>
      <c r="I624" s="56"/>
      <c r="J624" s="56"/>
      <c r="K624" s="56"/>
      <c r="L624" s="56"/>
      <c r="M624" s="56"/>
      <c r="N624" s="56"/>
      <c r="O624" s="56"/>
      <c r="P624" s="56"/>
      <c r="Q624" s="56"/>
      <c r="R624" s="2104"/>
      <c r="S624" s="253"/>
    </row>
    <row r="625" spans="1:19">
      <c r="A625" s="253"/>
      <c r="B625" s="56"/>
      <c r="C625" s="56"/>
      <c r="D625" s="56"/>
      <c r="E625" s="56"/>
      <c r="F625" s="56"/>
      <c r="G625" s="56"/>
      <c r="H625" s="56"/>
      <c r="I625" s="56"/>
      <c r="J625" s="56"/>
      <c r="K625" s="56"/>
      <c r="L625" s="56"/>
      <c r="M625" s="56"/>
      <c r="N625" s="56"/>
      <c r="O625" s="56"/>
      <c r="P625" s="56"/>
      <c r="Q625" s="56"/>
      <c r="R625" s="2104"/>
      <c r="S625" s="253"/>
    </row>
    <row r="626" spans="1:19">
      <c r="A626" s="253"/>
      <c r="B626" s="56"/>
      <c r="C626" s="56"/>
      <c r="D626" s="56"/>
      <c r="E626" s="56"/>
      <c r="F626" s="56"/>
      <c r="G626" s="56"/>
      <c r="H626" s="56"/>
      <c r="I626" s="56"/>
      <c r="J626" s="56"/>
      <c r="K626" s="56"/>
      <c r="L626" s="56"/>
      <c r="M626" s="56"/>
      <c r="N626" s="56"/>
      <c r="O626" s="56"/>
      <c r="P626" s="56"/>
      <c r="Q626" s="56"/>
      <c r="R626" s="2104"/>
      <c r="S626" s="253"/>
    </row>
    <row r="627" spans="1:19">
      <c r="A627" s="253"/>
      <c r="B627" s="56"/>
      <c r="C627" s="56"/>
      <c r="D627" s="56"/>
      <c r="E627" s="56"/>
      <c r="F627" s="56"/>
      <c r="G627" s="56"/>
      <c r="H627" s="56"/>
      <c r="I627" s="56"/>
      <c r="J627" s="56"/>
      <c r="K627" s="56"/>
      <c r="L627" s="56"/>
      <c r="M627" s="56"/>
      <c r="N627" s="56"/>
      <c r="O627" s="56"/>
      <c r="P627" s="56"/>
      <c r="Q627" s="56"/>
      <c r="R627" s="2104"/>
      <c r="S627" s="253"/>
    </row>
    <row r="628" spans="1:19">
      <c r="A628" s="253"/>
      <c r="B628" s="56"/>
      <c r="C628" s="56"/>
      <c r="D628" s="56"/>
      <c r="E628" s="56"/>
      <c r="F628" s="56"/>
      <c r="G628" s="56"/>
      <c r="H628" s="56"/>
      <c r="I628" s="56"/>
      <c r="J628" s="56"/>
      <c r="K628" s="56"/>
      <c r="L628" s="56"/>
      <c r="M628" s="56"/>
      <c r="N628" s="56"/>
      <c r="O628" s="56"/>
      <c r="P628" s="56"/>
      <c r="Q628" s="56"/>
      <c r="R628" s="2104"/>
      <c r="S628" s="253"/>
    </row>
    <row r="629" spans="1:19">
      <c r="A629" s="253"/>
      <c r="B629" s="56"/>
      <c r="C629" s="56"/>
      <c r="D629" s="56"/>
      <c r="E629" s="56"/>
      <c r="F629" s="56"/>
      <c r="G629" s="56"/>
      <c r="H629" s="56"/>
      <c r="I629" s="56"/>
      <c r="J629" s="56"/>
      <c r="K629" s="56"/>
      <c r="L629" s="56"/>
      <c r="M629" s="56"/>
      <c r="N629" s="56"/>
      <c r="O629" s="56"/>
      <c r="P629" s="56"/>
      <c r="Q629" s="56"/>
      <c r="R629" s="2104"/>
      <c r="S629" s="253"/>
    </row>
    <row r="630" spans="1:19">
      <c r="A630" s="253"/>
      <c r="B630" s="56"/>
      <c r="C630" s="56"/>
      <c r="D630" s="56"/>
      <c r="E630" s="56"/>
      <c r="F630" s="56"/>
      <c r="G630" s="56"/>
      <c r="H630" s="56"/>
      <c r="I630" s="56"/>
      <c r="J630" s="56"/>
      <c r="K630" s="56"/>
      <c r="L630" s="56"/>
      <c r="M630" s="56"/>
      <c r="N630" s="56"/>
      <c r="O630" s="56"/>
      <c r="P630" s="56"/>
      <c r="Q630" s="56"/>
      <c r="R630" s="2104"/>
      <c r="S630" s="253"/>
    </row>
    <row r="631" spans="1:19">
      <c r="A631" s="253"/>
      <c r="B631" s="56"/>
      <c r="C631" s="56"/>
      <c r="D631" s="56"/>
      <c r="E631" s="56"/>
      <c r="F631" s="56"/>
      <c r="G631" s="56"/>
      <c r="H631" s="56"/>
      <c r="I631" s="56"/>
      <c r="J631" s="56"/>
      <c r="K631" s="56"/>
      <c r="L631" s="56"/>
      <c r="M631" s="56"/>
      <c r="N631" s="56"/>
      <c r="O631" s="56"/>
      <c r="P631" s="56"/>
      <c r="Q631" s="56"/>
      <c r="R631" s="2104"/>
      <c r="S631" s="253"/>
    </row>
    <row r="632" spans="1:19">
      <c r="A632" s="253"/>
      <c r="B632" s="56"/>
      <c r="C632" s="56"/>
      <c r="D632" s="56"/>
      <c r="E632" s="56"/>
      <c r="F632" s="56"/>
      <c r="G632" s="56"/>
      <c r="H632" s="56"/>
      <c r="I632" s="56"/>
      <c r="J632" s="56"/>
      <c r="K632" s="56"/>
      <c r="L632" s="56"/>
      <c r="M632" s="56"/>
      <c r="N632" s="56"/>
      <c r="O632" s="56"/>
      <c r="P632" s="56"/>
      <c r="Q632" s="56"/>
      <c r="R632" s="2104"/>
      <c r="S632" s="253"/>
    </row>
    <row r="633" spans="1:19">
      <c r="A633" s="253"/>
      <c r="B633" s="56"/>
      <c r="C633" s="56"/>
      <c r="D633" s="56"/>
      <c r="E633" s="56"/>
      <c r="F633" s="56"/>
      <c r="G633" s="56"/>
      <c r="H633" s="56"/>
      <c r="I633" s="56"/>
      <c r="J633" s="56"/>
      <c r="K633" s="56"/>
      <c r="L633" s="56"/>
      <c r="M633" s="56"/>
      <c r="N633" s="56"/>
      <c r="O633" s="56"/>
      <c r="P633" s="56"/>
      <c r="Q633" s="56"/>
      <c r="R633" s="2104"/>
      <c r="S633" s="253"/>
    </row>
    <row r="634" spans="1:19">
      <c r="A634" s="253"/>
      <c r="B634" s="56"/>
      <c r="C634" s="56"/>
      <c r="D634" s="56"/>
      <c r="E634" s="56"/>
      <c r="F634" s="56"/>
      <c r="G634" s="56"/>
      <c r="H634" s="56"/>
      <c r="I634" s="56"/>
      <c r="J634" s="56"/>
      <c r="K634" s="56"/>
      <c r="L634" s="56"/>
      <c r="M634" s="56"/>
      <c r="N634" s="56"/>
      <c r="O634" s="56"/>
      <c r="P634" s="56"/>
      <c r="Q634" s="56"/>
      <c r="R634" s="2104"/>
      <c r="S634" s="253"/>
    </row>
    <row r="635" spans="1:19">
      <c r="A635" s="253"/>
      <c r="B635" s="56"/>
      <c r="C635" s="56"/>
      <c r="D635" s="56"/>
      <c r="E635" s="56"/>
      <c r="F635" s="56"/>
      <c r="G635" s="56"/>
      <c r="H635" s="56"/>
      <c r="I635" s="56"/>
      <c r="J635" s="56"/>
      <c r="K635" s="56"/>
      <c r="L635" s="56"/>
      <c r="M635" s="56"/>
      <c r="N635" s="56"/>
      <c r="O635" s="56"/>
      <c r="P635" s="56"/>
      <c r="Q635" s="56"/>
      <c r="R635" s="2104"/>
      <c r="S635" s="253"/>
    </row>
    <row r="636" spans="1:19">
      <c r="A636" s="253"/>
      <c r="B636" s="56"/>
      <c r="C636" s="56"/>
      <c r="D636" s="56"/>
      <c r="E636" s="56"/>
      <c r="F636" s="56"/>
      <c r="G636" s="56"/>
      <c r="H636" s="56"/>
      <c r="I636" s="56"/>
      <c r="J636" s="56"/>
      <c r="K636" s="56"/>
      <c r="L636" s="56"/>
      <c r="M636" s="56"/>
      <c r="N636" s="56"/>
      <c r="O636" s="56"/>
      <c r="P636" s="56"/>
      <c r="Q636" s="56"/>
      <c r="R636" s="2104"/>
      <c r="S636" s="253"/>
    </row>
    <row r="637" spans="1:19">
      <c r="A637" s="253"/>
      <c r="B637" s="56"/>
      <c r="C637" s="56"/>
      <c r="D637" s="56"/>
      <c r="E637" s="56"/>
      <c r="F637" s="56"/>
      <c r="G637" s="56"/>
      <c r="H637" s="56"/>
      <c r="I637" s="56"/>
      <c r="J637" s="56"/>
      <c r="K637" s="56"/>
      <c r="L637" s="56"/>
      <c r="M637" s="56"/>
      <c r="N637" s="56"/>
      <c r="O637" s="56"/>
      <c r="P637" s="56"/>
      <c r="Q637" s="56"/>
      <c r="R637" s="2104"/>
      <c r="S637" s="253"/>
    </row>
    <row r="638" spans="1:19">
      <c r="A638" s="253"/>
      <c r="B638" s="56"/>
      <c r="C638" s="56"/>
      <c r="D638" s="56"/>
      <c r="E638" s="56"/>
      <c r="F638" s="56"/>
      <c r="G638" s="56"/>
      <c r="H638" s="56"/>
      <c r="I638" s="56"/>
      <c r="J638" s="56"/>
      <c r="K638" s="56"/>
      <c r="L638" s="56"/>
      <c r="M638" s="56"/>
      <c r="N638" s="56"/>
      <c r="O638" s="56"/>
      <c r="P638" s="56"/>
      <c r="Q638" s="56"/>
      <c r="R638" s="2104"/>
      <c r="S638" s="253"/>
    </row>
    <row r="639" spans="1:19">
      <c r="A639" s="253"/>
      <c r="B639" s="56"/>
      <c r="C639" s="56"/>
      <c r="D639" s="56"/>
      <c r="E639" s="56"/>
      <c r="F639" s="56"/>
      <c r="G639" s="56"/>
      <c r="H639" s="56"/>
      <c r="I639" s="56"/>
      <c r="J639" s="56"/>
      <c r="K639" s="56"/>
      <c r="L639" s="56"/>
      <c r="M639" s="56"/>
      <c r="N639" s="56"/>
      <c r="O639" s="56"/>
      <c r="P639" s="56"/>
      <c r="Q639" s="56"/>
      <c r="R639" s="2104"/>
      <c r="S639" s="253"/>
    </row>
    <row r="640" spans="1:19">
      <c r="A640" s="253"/>
      <c r="B640" s="56"/>
      <c r="C640" s="56"/>
      <c r="D640" s="56"/>
      <c r="E640" s="56"/>
      <c r="F640" s="56"/>
      <c r="G640" s="56"/>
      <c r="H640" s="56"/>
      <c r="I640" s="56"/>
      <c r="J640" s="56"/>
      <c r="K640" s="56"/>
      <c r="L640" s="56"/>
      <c r="M640" s="56"/>
      <c r="N640" s="56"/>
      <c r="O640" s="56"/>
      <c r="P640" s="56"/>
      <c r="Q640" s="56"/>
      <c r="R640" s="2104"/>
      <c r="S640" s="253"/>
    </row>
    <row r="641" spans="1:19">
      <c r="A641" s="253"/>
      <c r="B641" s="56"/>
      <c r="C641" s="56"/>
      <c r="D641" s="56"/>
      <c r="E641" s="56"/>
      <c r="F641" s="56"/>
      <c r="G641" s="56"/>
      <c r="H641" s="56"/>
      <c r="I641" s="56"/>
      <c r="J641" s="56"/>
      <c r="K641" s="56"/>
      <c r="L641" s="56"/>
      <c r="M641" s="56"/>
      <c r="N641" s="56"/>
      <c r="O641" s="56"/>
      <c r="P641" s="56"/>
      <c r="Q641" s="56"/>
      <c r="R641" s="2104"/>
      <c r="S641" s="253"/>
    </row>
    <row r="642" spans="1:19">
      <c r="A642" s="253"/>
      <c r="B642" s="56"/>
      <c r="C642" s="56"/>
      <c r="D642" s="56"/>
      <c r="E642" s="56"/>
      <c r="F642" s="56"/>
      <c r="G642" s="56"/>
      <c r="H642" s="56"/>
      <c r="I642" s="56"/>
      <c r="J642" s="56"/>
      <c r="K642" s="56"/>
      <c r="L642" s="56"/>
      <c r="M642" s="56"/>
      <c r="N642" s="56"/>
      <c r="O642" s="56"/>
      <c r="P642" s="56"/>
      <c r="Q642" s="56"/>
      <c r="R642" s="2104"/>
      <c r="S642" s="253"/>
    </row>
    <row r="643" spans="1:19">
      <c r="A643" s="253"/>
      <c r="B643" s="56"/>
      <c r="C643" s="56"/>
      <c r="D643" s="56"/>
      <c r="E643" s="56"/>
      <c r="F643" s="56"/>
      <c r="G643" s="56"/>
      <c r="H643" s="56"/>
      <c r="I643" s="56"/>
      <c r="J643" s="56"/>
      <c r="K643" s="56"/>
      <c r="L643" s="56"/>
      <c r="M643" s="56"/>
      <c r="N643" s="56"/>
      <c r="O643" s="56"/>
      <c r="P643" s="56"/>
      <c r="Q643" s="56"/>
      <c r="R643" s="2104"/>
      <c r="S643" s="253"/>
    </row>
    <row r="644" spans="1:19">
      <c r="A644" s="253"/>
      <c r="B644" s="56"/>
      <c r="C644" s="56"/>
      <c r="D644" s="56"/>
      <c r="E644" s="56"/>
      <c r="F644" s="56"/>
      <c r="G644" s="56"/>
      <c r="H644" s="56"/>
      <c r="I644" s="56"/>
      <c r="J644" s="56"/>
      <c r="K644" s="56"/>
      <c r="L644" s="56"/>
      <c r="M644" s="56"/>
      <c r="N644" s="56"/>
      <c r="O644" s="56"/>
      <c r="P644" s="56"/>
      <c r="Q644" s="56"/>
      <c r="R644" s="2104"/>
      <c r="S644" s="253"/>
    </row>
    <row r="645" spans="1:19">
      <c r="A645" s="253"/>
      <c r="B645" s="56"/>
      <c r="C645" s="56"/>
      <c r="D645" s="56"/>
      <c r="E645" s="56"/>
      <c r="F645" s="56"/>
      <c r="G645" s="56"/>
      <c r="H645" s="56"/>
      <c r="I645" s="56"/>
      <c r="J645" s="56"/>
      <c r="K645" s="56"/>
      <c r="L645" s="56"/>
      <c r="M645" s="56"/>
      <c r="N645" s="56"/>
      <c r="O645" s="56"/>
      <c r="P645" s="56"/>
      <c r="Q645" s="56"/>
      <c r="R645" s="2104"/>
      <c r="S645" s="253"/>
    </row>
    <row r="646" spans="1:19">
      <c r="A646" s="253"/>
      <c r="B646" s="56"/>
      <c r="C646" s="56"/>
      <c r="D646" s="56"/>
      <c r="E646" s="56"/>
      <c r="F646" s="56"/>
      <c r="G646" s="56"/>
      <c r="H646" s="56"/>
      <c r="I646" s="56"/>
      <c r="J646" s="56"/>
      <c r="K646" s="56"/>
      <c r="L646" s="56"/>
      <c r="M646" s="56"/>
      <c r="N646" s="56"/>
      <c r="O646" s="56"/>
      <c r="P646" s="56"/>
      <c r="Q646" s="56"/>
      <c r="R646" s="2104"/>
      <c r="S646" s="253"/>
    </row>
    <row r="647" spans="1:19">
      <c r="A647" s="253"/>
      <c r="B647" s="56"/>
      <c r="C647" s="56"/>
      <c r="D647" s="56"/>
      <c r="E647" s="56"/>
      <c r="F647" s="56"/>
      <c r="G647" s="56"/>
      <c r="H647" s="56"/>
      <c r="I647" s="56"/>
      <c r="J647" s="56"/>
      <c r="K647" s="56"/>
      <c r="L647" s="56"/>
      <c r="M647" s="56"/>
      <c r="N647" s="56"/>
      <c r="O647" s="56"/>
      <c r="P647" s="56"/>
      <c r="Q647" s="56"/>
      <c r="R647" s="2104"/>
      <c r="S647" s="253"/>
    </row>
    <row r="648" spans="1:19">
      <c r="A648" s="253"/>
      <c r="B648" s="56"/>
      <c r="C648" s="56"/>
      <c r="D648" s="56"/>
      <c r="E648" s="56"/>
      <c r="F648" s="56"/>
      <c r="G648" s="56"/>
      <c r="H648" s="56"/>
      <c r="I648" s="56"/>
      <c r="J648" s="56"/>
      <c r="K648" s="56"/>
      <c r="L648" s="56"/>
      <c r="M648" s="56"/>
      <c r="N648" s="56"/>
      <c r="O648" s="56"/>
      <c r="P648" s="56"/>
      <c r="Q648" s="56"/>
      <c r="R648" s="2104"/>
      <c r="S648" s="253"/>
    </row>
    <row r="649" spans="1:19">
      <c r="A649" s="253"/>
      <c r="B649" s="56"/>
      <c r="C649" s="56"/>
      <c r="D649" s="56"/>
      <c r="E649" s="56"/>
      <c r="F649" s="56"/>
      <c r="G649" s="56"/>
      <c r="H649" s="56"/>
      <c r="I649" s="56"/>
      <c r="J649" s="56"/>
      <c r="K649" s="56"/>
      <c r="L649" s="56"/>
      <c r="M649" s="56"/>
      <c r="N649" s="56"/>
      <c r="O649" s="56"/>
      <c r="P649" s="56"/>
      <c r="Q649" s="56"/>
      <c r="R649" s="2104"/>
      <c r="S649" s="253"/>
    </row>
    <row r="650" spans="1:19">
      <c r="A650" s="253"/>
      <c r="B650" s="56"/>
      <c r="C650" s="56"/>
      <c r="D650" s="56"/>
      <c r="E650" s="56"/>
      <c r="F650" s="56"/>
      <c r="G650" s="56"/>
      <c r="H650" s="56"/>
      <c r="I650" s="56"/>
      <c r="J650" s="56"/>
      <c r="K650" s="56"/>
      <c r="L650" s="56"/>
      <c r="M650" s="56"/>
      <c r="N650" s="56"/>
      <c r="O650" s="56"/>
      <c r="P650" s="56"/>
      <c r="Q650" s="56"/>
      <c r="R650" s="2104"/>
      <c r="S650" s="253"/>
    </row>
    <row r="651" spans="1:19">
      <c r="A651" s="253"/>
      <c r="B651" s="56"/>
      <c r="C651" s="56"/>
      <c r="D651" s="56"/>
      <c r="E651" s="56"/>
      <c r="F651" s="56"/>
      <c r="G651" s="56"/>
      <c r="H651" s="56"/>
      <c r="I651" s="56"/>
      <c r="J651" s="56"/>
      <c r="K651" s="56"/>
      <c r="L651" s="56"/>
      <c r="M651" s="56"/>
      <c r="N651" s="56"/>
      <c r="O651" s="56"/>
      <c r="P651" s="56"/>
      <c r="Q651" s="56"/>
      <c r="R651" s="2104"/>
      <c r="S651" s="253"/>
    </row>
    <row r="652" spans="1:19">
      <c r="A652" s="253"/>
      <c r="B652" s="56"/>
      <c r="C652" s="56"/>
      <c r="D652" s="56"/>
      <c r="E652" s="56"/>
      <c r="F652" s="56"/>
      <c r="G652" s="56"/>
      <c r="H652" s="56"/>
      <c r="I652" s="56"/>
      <c r="J652" s="56"/>
      <c r="K652" s="56"/>
      <c r="L652" s="56"/>
      <c r="M652" s="56"/>
      <c r="N652" s="56"/>
      <c r="O652" s="56"/>
      <c r="P652" s="56"/>
      <c r="Q652" s="56"/>
      <c r="R652" s="2104"/>
      <c r="S652" s="253"/>
    </row>
    <row r="653" spans="1:19">
      <c r="A653" s="253"/>
      <c r="B653" s="56"/>
      <c r="C653" s="56"/>
      <c r="D653" s="56"/>
      <c r="E653" s="56"/>
      <c r="F653" s="56"/>
      <c r="G653" s="56"/>
      <c r="H653" s="56"/>
      <c r="I653" s="56"/>
      <c r="J653" s="56"/>
      <c r="K653" s="56"/>
      <c r="L653" s="56"/>
      <c r="M653" s="56"/>
      <c r="N653" s="56"/>
      <c r="O653" s="56"/>
      <c r="P653" s="56"/>
      <c r="Q653" s="56"/>
      <c r="R653" s="2104"/>
      <c r="S653" s="253"/>
    </row>
    <row r="654" spans="1:19">
      <c r="A654" s="253"/>
      <c r="B654" s="56"/>
      <c r="C654" s="56"/>
      <c r="D654" s="56"/>
      <c r="E654" s="56"/>
      <c r="F654" s="56"/>
      <c r="G654" s="56"/>
      <c r="H654" s="56"/>
      <c r="I654" s="56"/>
      <c r="J654" s="56"/>
      <c r="K654" s="56"/>
      <c r="L654" s="56"/>
      <c r="M654" s="56"/>
      <c r="N654" s="56"/>
      <c r="O654" s="56"/>
      <c r="P654" s="56"/>
      <c r="Q654" s="56"/>
      <c r="R654" s="2104"/>
      <c r="S654" s="253"/>
    </row>
    <row r="655" spans="1:19">
      <c r="A655" s="253"/>
      <c r="B655" s="56"/>
      <c r="C655" s="56"/>
      <c r="D655" s="56"/>
      <c r="E655" s="56"/>
      <c r="F655" s="56"/>
      <c r="G655" s="56"/>
      <c r="H655" s="56"/>
      <c r="I655" s="56"/>
      <c r="J655" s="56"/>
      <c r="K655" s="56"/>
      <c r="L655" s="56"/>
      <c r="M655" s="56"/>
      <c r="N655" s="56"/>
      <c r="O655" s="56"/>
      <c r="P655" s="56"/>
      <c r="Q655" s="56"/>
      <c r="R655" s="2104"/>
      <c r="S655" s="253"/>
    </row>
    <row r="656" spans="1:19">
      <c r="A656" s="253"/>
      <c r="B656" s="56"/>
      <c r="C656" s="56"/>
      <c r="D656" s="56"/>
      <c r="E656" s="56"/>
      <c r="F656" s="56"/>
      <c r="G656" s="56"/>
      <c r="H656" s="56"/>
      <c r="I656" s="56"/>
      <c r="J656" s="56"/>
      <c r="K656" s="56"/>
      <c r="L656" s="56"/>
      <c r="M656" s="56"/>
      <c r="N656" s="56"/>
      <c r="O656" s="56"/>
      <c r="P656" s="56"/>
      <c r="Q656" s="56"/>
      <c r="R656" s="2104"/>
      <c r="S656" s="253"/>
    </row>
    <row r="657" spans="1:19">
      <c r="A657" s="253"/>
      <c r="B657" s="56"/>
      <c r="C657" s="56"/>
      <c r="D657" s="56"/>
      <c r="E657" s="56"/>
      <c r="F657" s="56"/>
      <c r="G657" s="56"/>
      <c r="H657" s="56"/>
      <c r="I657" s="56"/>
      <c r="J657" s="56"/>
      <c r="K657" s="56"/>
      <c r="L657" s="56"/>
      <c r="M657" s="56"/>
      <c r="N657" s="56"/>
      <c r="O657" s="56"/>
      <c r="P657" s="56"/>
      <c r="Q657" s="56"/>
      <c r="R657" s="2104"/>
      <c r="S657" s="253"/>
    </row>
    <row r="658" spans="1:19">
      <c r="A658" s="253"/>
      <c r="B658" s="56"/>
      <c r="C658" s="56"/>
      <c r="D658" s="56"/>
      <c r="E658" s="56"/>
      <c r="F658" s="56"/>
      <c r="G658" s="56"/>
      <c r="H658" s="56"/>
      <c r="I658" s="56"/>
      <c r="J658" s="56"/>
      <c r="K658" s="56"/>
      <c r="L658" s="56"/>
      <c r="M658" s="56"/>
      <c r="N658" s="56"/>
      <c r="O658" s="56"/>
      <c r="P658" s="56"/>
      <c r="Q658" s="56"/>
      <c r="R658" s="2104"/>
      <c r="S658" s="253"/>
    </row>
    <row r="659" spans="1:19">
      <c r="A659" s="253"/>
      <c r="B659" s="56"/>
      <c r="C659" s="56"/>
      <c r="D659" s="56"/>
      <c r="E659" s="56"/>
      <c r="F659" s="56"/>
      <c r="G659" s="56"/>
      <c r="H659" s="56"/>
      <c r="I659" s="56"/>
      <c r="J659" s="56"/>
      <c r="K659" s="56"/>
      <c r="L659" s="56"/>
      <c r="M659" s="56"/>
      <c r="N659" s="56"/>
      <c r="O659" s="56"/>
      <c r="P659" s="56"/>
      <c r="Q659" s="56"/>
      <c r="R659" s="2104"/>
      <c r="S659" s="253"/>
    </row>
    <row r="660" spans="1:19">
      <c r="A660" s="253"/>
      <c r="B660" s="56"/>
      <c r="C660" s="56"/>
      <c r="D660" s="56"/>
      <c r="E660" s="56"/>
      <c r="F660" s="56"/>
      <c r="G660" s="56"/>
      <c r="H660" s="56"/>
      <c r="I660" s="56"/>
      <c r="J660" s="56"/>
      <c r="K660" s="56"/>
      <c r="L660" s="56"/>
      <c r="M660" s="56"/>
      <c r="N660" s="56"/>
      <c r="O660" s="56"/>
      <c r="P660" s="56"/>
      <c r="Q660" s="56"/>
      <c r="R660" s="2104"/>
      <c r="S660" s="253"/>
    </row>
    <row r="661" spans="1:19">
      <c r="A661" s="253"/>
      <c r="B661" s="56"/>
      <c r="C661" s="56"/>
      <c r="D661" s="56"/>
      <c r="E661" s="56"/>
      <c r="F661" s="56"/>
      <c r="G661" s="56"/>
      <c r="H661" s="56"/>
      <c r="I661" s="56"/>
      <c r="J661" s="56"/>
      <c r="K661" s="56"/>
      <c r="L661" s="56"/>
      <c r="M661" s="56"/>
      <c r="N661" s="56"/>
      <c r="O661" s="56"/>
      <c r="P661" s="56"/>
      <c r="Q661" s="56"/>
      <c r="R661" s="2104"/>
      <c r="S661" s="253"/>
    </row>
    <row r="662" spans="1:19">
      <c r="A662" s="253"/>
      <c r="B662" s="56"/>
      <c r="C662" s="56"/>
      <c r="D662" s="56"/>
      <c r="E662" s="56"/>
      <c r="F662" s="56"/>
      <c r="G662" s="56"/>
      <c r="H662" s="56"/>
      <c r="I662" s="56"/>
      <c r="J662" s="56"/>
      <c r="K662" s="56"/>
      <c r="L662" s="56"/>
      <c r="M662" s="56"/>
      <c r="N662" s="56"/>
      <c r="O662" s="56"/>
      <c r="P662" s="56"/>
      <c r="Q662" s="56"/>
      <c r="R662" s="2104"/>
      <c r="S662" s="253"/>
    </row>
    <row r="663" spans="1:19">
      <c r="A663" s="253"/>
      <c r="B663" s="56"/>
      <c r="C663" s="56"/>
      <c r="D663" s="56"/>
      <c r="E663" s="56"/>
      <c r="F663" s="56"/>
      <c r="G663" s="56"/>
      <c r="H663" s="56"/>
      <c r="I663" s="56"/>
      <c r="J663" s="56"/>
      <c r="K663" s="56"/>
      <c r="L663" s="56"/>
      <c r="M663" s="56"/>
      <c r="N663" s="56"/>
      <c r="O663" s="56"/>
      <c r="P663" s="56"/>
      <c r="Q663" s="56"/>
      <c r="R663" s="2104"/>
      <c r="S663" s="253"/>
    </row>
    <row r="664" spans="1:19">
      <c r="A664" s="253"/>
      <c r="B664" s="56"/>
      <c r="C664" s="56"/>
      <c r="D664" s="56"/>
      <c r="E664" s="56"/>
      <c r="F664" s="56"/>
      <c r="G664" s="56"/>
      <c r="H664" s="56"/>
      <c r="I664" s="56"/>
      <c r="J664" s="56"/>
      <c r="K664" s="56"/>
      <c r="L664" s="56"/>
      <c r="M664" s="56"/>
      <c r="N664" s="56"/>
      <c r="O664" s="56"/>
      <c r="P664" s="56"/>
      <c r="Q664" s="56"/>
      <c r="R664" s="2104"/>
      <c r="S664" s="253"/>
    </row>
    <row r="665" spans="1:19">
      <c r="A665" s="253"/>
      <c r="B665" s="56"/>
      <c r="C665" s="56"/>
      <c r="D665" s="56"/>
      <c r="E665" s="56"/>
      <c r="F665" s="56"/>
      <c r="G665" s="56"/>
      <c r="H665" s="56"/>
      <c r="I665" s="56"/>
      <c r="J665" s="56"/>
      <c r="K665" s="56"/>
      <c r="L665" s="56"/>
      <c r="M665" s="56"/>
      <c r="N665" s="56"/>
      <c r="O665" s="56"/>
      <c r="P665" s="56"/>
      <c r="Q665" s="56"/>
      <c r="R665" s="2104"/>
      <c r="S665" s="253"/>
    </row>
    <row r="666" spans="1:19">
      <c r="A666" s="253"/>
      <c r="B666" s="56"/>
      <c r="C666" s="56"/>
      <c r="D666" s="56"/>
      <c r="E666" s="56"/>
      <c r="F666" s="56"/>
      <c r="G666" s="56"/>
      <c r="H666" s="56"/>
      <c r="I666" s="56"/>
      <c r="J666" s="56"/>
      <c r="K666" s="56"/>
      <c r="L666" s="56"/>
      <c r="M666" s="56"/>
      <c r="N666" s="56"/>
      <c r="O666" s="56"/>
      <c r="P666" s="56"/>
      <c r="Q666" s="56"/>
      <c r="R666" s="2104"/>
      <c r="S666" s="253"/>
    </row>
    <row r="667" spans="1:19">
      <c r="A667" s="253"/>
      <c r="B667" s="56"/>
      <c r="C667" s="56"/>
      <c r="D667" s="56"/>
      <c r="E667" s="56"/>
      <c r="F667" s="56"/>
      <c r="G667" s="56"/>
      <c r="H667" s="56"/>
      <c r="I667" s="56"/>
      <c r="J667" s="56"/>
      <c r="K667" s="56"/>
      <c r="L667" s="56"/>
      <c r="M667" s="56"/>
      <c r="N667" s="56"/>
      <c r="O667" s="56"/>
      <c r="P667" s="56"/>
      <c r="Q667" s="56"/>
      <c r="R667" s="2104"/>
      <c r="S667" s="253"/>
    </row>
    <row r="668" spans="1:19">
      <c r="A668" s="253"/>
      <c r="B668" s="56"/>
      <c r="C668" s="56"/>
      <c r="D668" s="56"/>
      <c r="E668" s="56"/>
      <c r="F668" s="56"/>
      <c r="G668" s="56"/>
      <c r="H668" s="56"/>
      <c r="I668" s="56"/>
      <c r="J668" s="56"/>
      <c r="K668" s="56"/>
      <c r="L668" s="56"/>
      <c r="M668" s="56"/>
      <c r="N668" s="56"/>
      <c r="O668" s="56"/>
      <c r="P668" s="56"/>
      <c r="Q668" s="56"/>
      <c r="R668" s="2104"/>
      <c r="S668" s="253"/>
    </row>
    <row r="669" spans="1:19">
      <c r="A669" s="253"/>
      <c r="B669" s="56"/>
      <c r="C669" s="56"/>
      <c r="D669" s="56"/>
      <c r="E669" s="56"/>
      <c r="F669" s="56"/>
      <c r="G669" s="56"/>
      <c r="H669" s="56"/>
      <c r="I669" s="56"/>
      <c r="J669" s="56"/>
      <c r="K669" s="56"/>
      <c r="L669" s="56"/>
      <c r="M669" s="56"/>
      <c r="N669" s="56"/>
      <c r="O669" s="56"/>
      <c r="P669" s="56"/>
      <c r="Q669" s="56"/>
      <c r="R669" s="2104"/>
      <c r="S669" s="253"/>
    </row>
    <row r="670" spans="1:19">
      <c r="A670" s="253"/>
      <c r="B670" s="56"/>
      <c r="C670" s="56"/>
      <c r="D670" s="56"/>
      <c r="E670" s="56"/>
      <c r="F670" s="56"/>
      <c r="G670" s="56"/>
      <c r="H670" s="56"/>
      <c r="I670" s="56"/>
      <c r="J670" s="56"/>
      <c r="K670" s="56"/>
      <c r="L670" s="56"/>
      <c r="M670" s="56"/>
      <c r="N670" s="56"/>
      <c r="O670" s="56"/>
      <c r="P670" s="56"/>
      <c r="Q670" s="56"/>
      <c r="R670" s="2104"/>
      <c r="S670" s="253"/>
    </row>
    <row r="671" spans="1:19">
      <c r="A671" s="253"/>
      <c r="B671" s="56"/>
      <c r="C671" s="56"/>
      <c r="D671" s="56"/>
      <c r="E671" s="56"/>
      <c r="F671" s="56"/>
      <c r="G671" s="56"/>
      <c r="H671" s="56"/>
      <c r="I671" s="56"/>
      <c r="J671" s="56"/>
      <c r="K671" s="56"/>
      <c r="L671" s="56"/>
      <c r="M671" s="56"/>
      <c r="N671" s="56"/>
      <c r="O671" s="56"/>
      <c r="P671" s="56"/>
      <c r="Q671" s="56"/>
      <c r="R671" s="2104"/>
      <c r="S671" s="253"/>
    </row>
    <row r="672" spans="1:19">
      <c r="A672" s="253"/>
      <c r="B672" s="56"/>
      <c r="C672" s="56"/>
      <c r="D672" s="56"/>
      <c r="E672" s="56"/>
      <c r="F672" s="56"/>
      <c r="G672" s="56"/>
      <c r="H672" s="56"/>
      <c r="I672" s="56"/>
      <c r="J672" s="56"/>
      <c r="K672" s="56"/>
      <c r="L672" s="56"/>
      <c r="M672" s="56"/>
      <c r="N672" s="56"/>
      <c r="O672" s="56"/>
      <c r="P672" s="56"/>
      <c r="Q672" s="56"/>
      <c r="R672" s="2104"/>
      <c r="S672" s="253"/>
    </row>
    <row r="673" spans="1:19">
      <c r="A673" s="253"/>
      <c r="B673" s="56"/>
      <c r="C673" s="56"/>
      <c r="D673" s="56"/>
      <c r="E673" s="56"/>
      <c r="F673" s="56"/>
      <c r="G673" s="56"/>
      <c r="H673" s="56"/>
      <c r="I673" s="56"/>
      <c r="J673" s="56"/>
      <c r="K673" s="56"/>
      <c r="L673" s="56"/>
      <c r="M673" s="56"/>
      <c r="N673" s="56"/>
      <c r="O673" s="56"/>
      <c r="P673" s="56"/>
      <c r="Q673" s="56"/>
      <c r="R673" s="2104"/>
      <c r="S673" s="253"/>
    </row>
    <row r="674" spans="1:19">
      <c r="A674" s="253"/>
      <c r="B674" s="56"/>
      <c r="C674" s="56"/>
      <c r="D674" s="56"/>
      <c r="E674" s="56"/>
      <c r="F674" s="56"/>
      <c r="G674" s="56"/>
      <c r="H674" s="56"/>
      <c r="I674" s="56"/>
      <c r="J674" s="56"/>
      <c r="K674" s="56"/>
      <c r="L674" s="56"/>
      <c r="M674" s="56"/>
      <c r="N674" s="56"/>
      <c r="O674" s="56"/>
      <c r="P674" s="56"/>
      <c r="Q674" s="56"/>
      <c r="R674" s="2104"/>
      <c r="S674" s="253"/>
    </row>
    <row r="675" spans="1:19">
      <c r="A675" s="253"/>
      <c r="B675" s="56"/>
      <c r="C675" s="56"/>
      <c r="D675" s="56"/>
      <c r="E675" s="56"/>
      <c r="F675" s="56"/>
      <c r="G675" s="56"/>
      <c r="H675" s="56"/>
      <c r="I675" s="56"/>
      <c r="J675" s="56"/>
      <c r="K675" s="56"/>
      <c r="L675" s="56"/>
      <c r="M675" s="56"/>
      <c r="N675" s="56"/>
      <c r="O675" s="56"/>
      <c r="P675" s="56"/>
      <c r="Q675" s="56"/>
      <c r="R675" s="2104"/>
      <c r="S675" s="253"/>
    </row>
    <row r="676" spans="1:19">
      <c r="A676" s="253"/>
      <c r="B676" s="56"/>
      <c r="C676" s="56"/>
      <c r="D676" s="56"/>
      <c r="E676" s="56"/>
      <c r="F676" s="56"/>
      <c r="G676" s="56"/>
      <c r="H676" s="56"/>
      <c r="I676" s="56"/>
      <c r="J676" s="56"/>
      <c r="K676" s="56"/>
      <c r="L676" s="56"/>
      <c r="M676" s="56"/>
      <c r="N676" s="56"/>
      <c r="O676" s="56"/>
      <c r="P676" s="56"/>
      <c r="Q676" s="56"/>
      <c r="R676" s="2104"/>
      <c r="S676" s="253"/>
    </row>
    <row r="677" spans="1:19">
      <c r="A677" s="253"/>
      <c r="B677" s="56"/>
      <c r="C677" s="56"/>
      <c r="D677" s="56"/>
      <c r="E677" s="56"/>
      <c r="F677" s="56"/>
      <c r="G677" s="56"/>
      <c r="H677" s="56"/>
      <c r="I677" s="56"/>
      <c r="J677" s="56"/>
      <c r="K677" s="56"/>
      <c r="L677" s="56"/>
      <c r="M677" s="56"/>
      <c r="N677" s="56"/>
      <c r="O677" s="56"/>
      <c r="P677" s="56"/>
      <c r="Q677" s="56"/>
      <c r="R677" s="2104"/>
      <c r="S677" s="253"/>
    </row>
    <row r="678" spans="1:19">
      <c r="A678" s="253"/>
      <c r="B678" s="56"/>
      <c r="C678" s="56"/>
      <c r="D678" s="56"/>
      <c r="E678" s="56"/>
      <c r="F678" s="56"/>
      <c r="G678" s="56"/>
      <c r="H678" s="56"/>
      <c r="I678" s="56"/>
      <c r="J678" s="56"/>
      <c r="K678" s="56"/>
      <c r="L678" s="56"/>
      <c r="M678" s="56"/>
      <c r="N678" s="56"/>
      <c r="O678" s="56"/>
      <c r="P678" s="56"/>
      <c r="Q678" s="56"/>
      <c r="R678" s="2104"/>
      <c r="S678" s="253"/>
    </row>
    <row r="679" spans="1:19">
      <c r="A679" s="253"/>
      <c r="B679" s="56"/>
      <c r="C679" s="56"/>
      <c r="D679" s="56"/>
      <c r="E679" s="56"/>
      <c r="F679" s="56"/>
      <c r="G679" s="56"/>
      <c r="H679" s="56"/>
      <c r="I679" s="56"/>
      <c r="J679" s="56"/>
      <c r="K679" s="56"/>
      <c r="L679" s="56"/>
      <c r="M679" s="56"/>
      <c r="N679" s="56"/>
      <c r="O679" s="56"/>
      <c r="P679" s="56"/>
      <c r="Q679" s="56"/>
      <c r="R679" s="2104"/>
      <c r="S679" s="253"/>
    </row>
    <row r="680" spans="1:19">
      <c r="A680" s="253"/>
      <c r="B680" s="56"/>
      <c r="C680" s="56"/>
      <c r="D680" s="56"/>
      <c r="E680" s="56"/>
      <c r="F680" s="56"/>
      <c r="G680" s="56"/>
      <c r="H680" s="56"/>
      <c r="I680" s="56"/>
      <c r="J680" s="56"/>
      <c r="K680" s="56"/>
      <c r="L680" s="56"/>
      <c r="M680" s="56"/>
      <c r="N680" s="56"/>
      <c r="O680" s="56"/>
      <c r="P680" s="56"/>
      <c r="Q680" s="56"/>
      <c r="R680" s="2104"/>
      <c r="S680" s="253"/>
    </row>
    <row r="681" spans="1:19">
      <c r="A681" s="253"/>
      <c r="B681" s="56"/>
      <c r="C681" s="56"/>
      <c r="D681" s="56"/>
      <c r="E681" s="56"/>
      <c r="F681" s="56"/>
      <c r="G681" s="56"/>
      <c r="H681" s="56"/>
      <c r="I681" s="56"/>
      <c r="J681" s="56"/>
      <c r="K681" s="56"/>
      <c r="L681" s="56"/>
      <c r="M681" s="56"/>
      <c r="N681" s="56"/>
      <c r="O681" s="56"/>
      <c r="P681" s="56"/>
      <c r="Q681" s="56"/>
      <c r="R681" s="2104"/>
      <c r="S681" s="253"/>
    </row>
    <row r="682" spans="1:19">
      <c r="A682" s="253"/>
      <c r="B682" s="56"/>
      <c r="C682" s="56"/>
      <c r="D682" s="56"/>
      <c r="E682" s="56"/>
      <c r="F682" s="56"/>
      <c r="G682" s="56"/>
      <c r="H682" s="56"/>
      <c r="I682" s="56"/>
      <c r="J682" s="56"/>
      <c r="K682" s="56"/>
      <c r="L682" s="56"/>
      <c r="M682" s="56"/>
      <c r="N682" s="56"/>
      <c r="O682" s="56"/>
      <c r="P682" s="56"/>
      <c r="Q682" s="56"/>
      <c r="R682" s="2104"/>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2765</v>
      </c>
      <c r="C1" s="2719">
        <f>项目基本情况!D3</f>
        <v>44424</v>
      </c>
      <c r="H1" s="2653">
        <f>IF(C1&gt;C13,0,MATCH(C1,C$13:C$100,-1))+IF(SUMIF(C13:C100,C1,D13:D100)=0,13,12)</f>
        <v>13</v>
      </c>
      <c r="I1" s="2653">
        <f>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2796</v>
      </c>
      <c r="C2" s="2720">
        <f>'数据-取费表'!B22</f>
        <v>1.5</v>
      </c>
      <c r="D2" s="2715" t="s">
        <v>2766</v>
      </c>
      <c r="E2" s="2718">
        <f ca="1">INDIRECT("I"&amp;$I$1)/100</f>
        <v>4.7500000000000001E-2</v>
      </c>
      <c r="G2" s="2655"/>
      <c r="H2" s="2655"/>
      <c r="I2" s="2655" t="s">
        <v>2767</v>
      </c>
      <c r="K2" s="2655"/>
      <c r="L2" s="2655"/>
      <c r="M2" s="2655"/>
      <c r="N2" s="2655" t="s">
        <v>2768</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2798</v>
      </c>
      <c r="C3" s="2717">
        <f>'数据-取费表'!B19</f>
        <v>0</v>
      </c>
      <c r="D3" s="2715" t="s">
        <v>2766</v>
      </c>
      <c r="E3" s="2718">
        <f ca="1">INDIRECT("J"&amp;$J$1)/100</f>
        <v>0</v>
      </c>
      <c r="G3" s="2657" t="s">
        <v>2769</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2797</v>
      </c>
      <c r="C4" s="2718">
        <f ca="1">N4/100</f>
        <v>1.4999999999999999E-2</v>
      </c>
      <c r="G4" s="2663" t="s">
        <v>2770</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2771</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2772</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2773</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2774</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2775</v>
      </c>
      <c r="C10" s="2682"/>
      <c r="D10" s="2682"/>
      <c r="E10" s="2682"/>
      <c r="F10" s="2682"/>
      <c r="G10" s="2682"/>
      <c r="H10" s="2682"/>
      <c r="I10" s="2656"/>
      <c r="J10" s="2656"/>
      <c r="K10" s="2682"/>
      <c r="L10" s="2683" t="s">
        <v>2776</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2777</v>
      </c>
      <c r="C11" s="2687" t="s">
        <v>2778</v>
      </c>
      <c r="D11" s="2688" t="s">
        <v>2779</v>
      </c>
      <c r="E11" s="2689"/>
      <c r="F11" s="2688" t="s">
        <v>2780</v>
      </c>
      <c r="G11" s="2690"/>
      <c r="H11" s="2689"/>
      <c r="I11" s="2688" t="s">
        <v>2781</v>
      </c>
      <c r="J11" s="2689"/>
      <c r="K11" s="2685"/>
      <c r="L11" s="2686" t="s">
        <v>2777</v>
      </c>
      <c r="M11" s="2687" t="s">
        <v>2778</v>
      </c>
      <c r="N11" s="2686" t="s">
        <v>2782</v>
      </c>
      <c r="O11" s="2688" t="s">
        <v>2783</v>
      </c>
      <c r="P11" s="2690"/>
      <c r="Q11" s="2690"/>
      <c r="R11" s="2690"/>
      <c r="S11" s="2690"/>
      <c r="T11" s="2689"/>
      <c r="U11" s="2688" t="s">
        <v>2784</v>
      </c>
      <c r="V11" s="2690"/>
      <c r="W11" s="2689"/>
      <c r="X11" s="2686" t="s">
        <v>2785</v>
      </c>
      <c r="Y11" s="2686" t="s">
        <v>2786</v>
      </c>
      <c r="Z11" s="2686" t="s">
        <v>2787</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2788</v>
      </c>
      <c r="E12" s="2695" t="s">
        <v>2789</v>
      </c>
      <c r="F12" s="2695" t="s">
        <v>2790</v>
      </c>
      <c r="G12" s="2695" t="s">
        <v>2791</v>
      </c>
      <c r="H12" s="2695" t="s">
        <v>2773</v>
      </c>
      <c r="I12" s="2696" t="s">
        <v>2792</v>
      </c>
      <c r="J12" s="2696" t="s">
        <v>2792</v>
      </c>
      <c r="K12" s="2692"/>
      <c r="L12" s="2693"/>
      <c r="M12" s="2694"/>
      <c r="N12" s="2693"/>
      <c r="O12" s="2696" t="s">
        <v>2793</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2794</v>
      </c>
      <c r="C13" s="2700">
        <v>42301</v>
      </c>
      <c r="D13" s="2701">
        <v>4.3499999999999996</v>
      </c>
      <c r="E13" s="2701">
        <v>4.3499999999999996</v>
      </c>
      <c r="F13" s="2701">
        <v>4.75</v>
      </c>
      <c r="G13" s="2701">
        <v>4.75</v>
      </c>
      <c r="H13" s="2701">
        <v>4.9000000000000004</v>
      </c>
      <c r="I13" s="2701">
        <v>2.75</v>
      </c>
      <c r="J13" s="2701">
        <v>3.25</v>
      </c>
      <c r="K13" s="2698"/>
      <c r="L13" s="2699" t="s">
        <v>2794</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2795</v>
      </c>
      <c r="Y42" s="2705" t="s">
        <v>2795</v>
      </c>
      <c r="Z42" s="2705" t="s">
        <v>2795</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2795</v>
      </c>
      <c r="Y43" s="2705" t="s">
        <v>2795</v>
      </c>
      <c r="Z43" s="2705" t="s">
        <v>2795</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2795</v>
      </c>
      <c r="Y44" s="2705" t="s">
        <v>2795</v>
      </c>
      <c r="Z44" s="2705" t="s">
        <v>2795</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2795</v>
      </c>
      <c r="Y45" s="2705" t="s">
        <v>2795</v>
      </c>
      <c r="Z45" s="2705" t="s">
        <v>2795</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2795</v>
      </c>
      <c r="Y46" s="2705" t="s">
        <v>2795</v>
      </c>
      <c r="Z46" s="2705" t="s">
        <v>2795</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2795</v>
      </c>
      <c r="Y47" s="2705" t="s">
        <v>2795</v>
      </c>
      <c r="Z47" s="2705" t="s">
        <v>2795</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2795</v>
      </c>
      <c r="Y48" s="2705" t="s">
        <v>2795</v>
      </c>
      <c r="Z48" s="2705" t="s">
        <v>2795</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2795</v>
      </c>
      <c r="Y49" s="2705" t="s">
        <v>2795</v>
      </c>
      <c r="Z49" s="2705" t="s">
        <v>2795</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2795</v>
      </c>
      <c r="Y50" s="2705" t="s">
        <v>2795</v>
      </c>
      <c r="Z50" s="2705" t="s">
        <v>2795</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2795</v>
      </c>
      <c r="V51" s="2705" t="s">
        <v>2795</v>
      </c>
      <c r="W51" s="2705" t="s">
        <v>2795</v>
      </c>
      <c r="X51" s="2705" t="s">
        <v>2795</v>
      </c>
      <c r="Y51" s="2705" t="s">
        <v>2795</v>
      </c>
      <c r="Z51" s="2705" t="s">
        <v>2795</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2795</v>
      </c>
      <c r="J55" s="2705" t="s">
        <v>2795</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408" t="s">
        <v>2051</v>
      </c>
      <c r="B1" s="3408"/>
      <c r="C1" s="3408"/>
      <c r="D1" s="3408"/>
    </row>
    <row r="2" spans="1:4" ht="47.25" customHeight="1">
      <c r="A2" s="3409" t="str">
        <f>"1.权利限制："&amp;项目基本情况!L24&amp;"未设定租赁等其他他项权利。"</f>
        <v>1.权利限制：根据估价对象《不动产权证书》原件、《国有土地使用权》复印件，截至估价期日，估价对象抵押权未见登记。未设定租赁等其他他项权利。</v>
      </c>
      <c r="B2" s="3409"/>
      <c r="C2" s="3409"/>
      <c r="D2" s="3409"/>
    </row>
    <row r="3" spans="1:4" ht="48" customHeight="1">
      <c r="A3" s="34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08"/>
      <c r="C3" s="3408"/>
      <c r="D3" s="3408"/>
    </row>
    <row r="4" spans="1:4" ht="36.75" customHeight="1">
      <c r="A4" s="3408" t="str">
        <f>"3.估价规划限制条件：详见"&amp;项目基本情况!E21&amp;"。"</f>
        <v>3.估价规划限制条件：详见《建设工程规划许可证》[]、《出让合同》[]。</v>
      </c>
      <c r="B4" s="3408"/>
      <c r="C4" s="3408"/>
      <c r="D4" s="3408"/>
    </row>
    <row r="5" spans="1:4">
      <c r="A5" s="3407" t="s">
        <v>2052</v>
      </c>
      <c r="B5" s="3407"/>
      <c r="C5" s="3407"/>
      <c r="D5" s="3407"/>
    </row>
    <row r="6" spans="1:4">
      <c r="A6" s="3408" t="s">
        <v>2030</v>
      </c>
      <c r="B6" s="3408"/>
      <c r="C6" s="3408"/>
      <c r="D6" s="3408"/>
    </row>
    <row r="7" spans="1:4" ht="33" customHeight="1">
      <c r="A7" s="3408" t="s">
        <v>2553</v>
      </c>
      <c r="B7" s="3408"/>
      <c r="C7" s="3408"/>
      <c r="D7" s="3408"/>
    </row>
    <row r="8" spans="1:4" ht="32.25" customHeight="1">
      <c r="A8" s="34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08"/>
      <c r="C8" s="3408"/>
      <c r="D8" s="3408"/>
    </row>
    <row r="9" spans="1:4" ht="33.75" customHeight="1">
      <c r="A9" s="3408" t="str">
        <f>IF(项目基本情况!B8="抵押","3.抵押双方在办理抵押登记手续时，应使用本公司出具的正式《土地估价报告》，特提请报告使用者注意。","——")</f>
        <v>——</v>
      </c>
      <c r="B9" s="3408"/>
      <c r="C9" s="3408"/>
      <c r="D9" s="3408"/>
    </row>
    <row r="10" spans="1:4">
      <c r="A10" s="3408" t="str">
        <f>IF(项目基本情况!B8="抵押","4.估价师所知悉的法定优先受偿款情况为：","——")</f>
        <v>——</v>
      </c>
      <c r="B10" s="3408"/>
      <c r="C10" s="3408"/>
      <c r="D10" s="3408"/>
    </row>
    <row r="11" spans="1:4" ht="37.5" customHeight="1">
      <c r="A11" s="3410" t="str">
        <f>IF(项目基本情况!B8="抵押","（1）"&amp;CONCATENATE(项目基本情况!L24,项目基本情况!L25,项目基本情况!L26),"——")</f>
        <v>——</v>
      </c>
      <c r="B11" s="3410"/>
      <c r="C11" s="3410"/>
      <c r="D11" s="3410"/>
    </row>
    <row r="12" spans="1:4" ht="168" customHeight="1">
      <c r="A12" s="3407" t="s">
        <v>2054</v>
      </c>
      <c r="B12" s="3407"/>
      <c r="C12" s="3407"/>
      <c r="D12" s="3407"/>
    </row>
    <row r="13" spans="1:4">
      <c r="A13" s="3411" t="s">
        <v>2724</v>
      </c>
      <c r="B13" s="3411"/>
      <c r="C13" s="3411"/>
      <c r="D13" s="3411"/>
    </row>
    <row r="14" spans="1:4">
      <c r="A14" s="3410" t="str">
        <f>IF(项目基本情况!B8="抵押","综上，"&amp;结果表!K47,"——")</f>
        <v>——</v>
      </c>
      <c r="B14" s="3410"/>
      <c r="C14" s="3410"/>
      <c r="D14" s="3410"/>
    </row>
    <row r="15" spans="1:4" ht="58.5" customHeight="1">
      <c r="A15" s="34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8"/>
      <c r="C15" s="3408"/>
      <c r="D15" s="3408"/>
    </row>
    <row r="16" spans="1:4" ht="70.5" customHeight="1">
      <c r="A16" s="34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8"/>
      <c r="C16" s="3408"/>
      <c r="D16" s="3408"/>
    </row>
    <row r="17" spans="1:4">
      <c r="A17" s="3408" t="s">
        <v>2680</v>
      </c>
      <c r="B17" s="3408"/>
      <c r="C17" s="3408"/>
      <c r="D17" s="3408"/>
    </row>
    <row r="18" spans="1:4">
      <c r="A18" s="3408" t="s">
        <v>2672</v>
      </c>
      <c r="B18" s="3408"/>
      <c r="C18" s="3408"/>
      <c r="D18" s="3408"/>
    </row>
    <row r="19" spans="1:4">
      <c r="A19" s="2583" t="s">
        <v>2673</v>
      </c>
      <c r="B19" s="2583" t="s">
        <v>2674</v>
      </c>
      <c r="C19" s="2583" t="s">
        <v>2675</v>
      </c>
      <c r="D19" s="2583" t="s">
        <v>2676</v>
      </c>
    </row>
    <row r="20" spans="1:4">
      <c r="A20" s="2583" t="str">
        <f>项目基本情况!B4</f>
        <v>土地估价师</v>
      </c>
      <c r="B20" s="2583">
        <f>项目基本情况!C4</f>
        <v>0</v>
      </c>
      <c r="C20" s="2585"/>
      <c r="D20" s="1713" t="s">
        <v>2681</v>
      </c>
    </row>
    <row r="21" spans="1:4">
      <c r="A21" s="2583" t="str">
        <f>项目基本情况!D4</f>
        <v>土地估价师</v>
      </c>
      <c r="B21" s="2583">
        <f>项目基本情况!E4</f>
        <v>0</v>
      </c>
      <c r="C21" s="2585"/>
      <c r="D21" s="1713" t="s">
        <v>2682</v>
      </c>
    </row>
    <row r="23" spans="1:4">
      <c r="A23" s="3408" t="s">
        <v>2677</v>
      </c>
      <c r="B23" s="3408"/>
      <c r="C23" s="3408"/>
      <c r="D23" s="3408"/>
    </row>
    <row r="24" spans="1:4">
      <c r="A24" s="2583" t="s">
        <v>2673</v>
      </c>
      <c r="B24" s="2583" t="s">
        <v>2678</v>
      </c>
      <c r="C24" s="2583" t="s">
        <v>2675</v>
      </c>
      <c r="D24" s="2583" t="s">
        <v>2676</v>
      </c>
    </row>
    <row r="25" spans="1:4">
      <c r="A25" s="2586" t="s">
        <v>2679</v>
      </c>
      <c r="B25" s="2583" t="s">
        <v>941</v>
      </c>
      <c r="C25" s="2585"/>
      <c r="D25" s="1713" t="s">
        <v>2682</v>
      </c>
    </row>
    <row r="29" spans="1:4">
      <c r="D29" s="2584" t="s">
        <v>2025</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419" t="s">
        <v>53</v>
      </c>
      <c r="B15" s="3420" t="s">
        <v>836</v>
      </c>
      <c r="C15" s="3416"/>
    </row>
    <row r="16" spans="1:7" ht="14.25">
      <c r="A16" s="3419"/>
      <c r="B16" s="3417" t="s">
        <v>54</v>
      </c>
      <c r="C16" s="1153" t="s">
        <v>53</v>
      </c>
    </row>
    <row r="17" spans="1:3" ht="14.25">
      <c r="A17" s="3419"/>
      <c r="B17" s="3417"/>
      <c r="C17" s="1153" t="s">
        <v>55</v>
      </c>
    </row>
    <row r="18" spans="1:3" ht="14.25">
      <c r="A18" s="3419"/>
      <c r="B18" s="3417"/>
      <c r="C18" s="1153" t="s">
        <v>56</v>
      </c>
    </row>
    <row r="19" spans="1:3" ht="14.25">
      <c r="A19" s="3419"/>
      <c r="B19" s="3415" t="s">
        <v>57</v>
      </c>
      <c r="C19" s="3416"/>
    </row>
    <row r="20" spans="1:3" ht="14.25">
      <c r="A20" s="1154" t="s">
        <v>58</v>
      </c>
      <c r="B20" s="1155"/>
      <c r="C20" s="1156"/>
    </row>
    <row r="21" spans="1:3" ht="14.25">
      <c r="A21" s="3418" t="s">
        <v>59</v>
      </c>
      <c r="B21" s="3415" t="s">
        <v>60</v>
      </c>
      <c r="C21" s="3416"/>
    </row>
    <row r="22" spans="1:3" ht="14.25">
      <c r="A22" s="3418"/>
      <c r="B22" s="3415" t="s">
        <v>61</v>
      </c>
      <c r="C22" s="3416"/>
    </row>
    <row r="23" spans="1:3" ht="14.25">
      <c r="A23" s="3418"/>
      <c r="B23" s="3415" t="s">
        <v>62</v>
      </c>
      <c r="C23" s="3416"/>
    </row>
    <row r="24" spans="1:3" ht="14.25">
      <c r="A24" s="3418"/>
      <c r="B24" s="3421" t="s">
        <v>63</v>
      </c>
      <c r="C24" s="1157" t="s">
        <v>827</v>
      </c>
    </row>
    <row r="25" spans="1:3" ht="14.25">
      <c r="A25" s="3418"/>
      <c r="B25" s="3422"/>
      <c r="C25" s="1157" t="s">
        <v>828</v>
      </c>
    </row>
    <row r="26" spans="1:3" ht="14.25">
      <c r="A26" s="3418"/>
      <c r="B26" s="3422"/>
      <c r="C26" s="1157" t="s">
        <v>829</v>
      </c>
    </row>
    <row r="27" spans="1:3" ht="14.25">
      <c r="A27" s="3418"/>
      <c r="B27" s="3422"/>
      <c r="C27" s="1157" t="s">
        <v>830</v>
      </c>
    </row>
    <row r="28" spans="1:3" ht="14.25">
      <c r="A28" s="3418"/>
      <c r="B28" s="3422"/>
      <c r="C28" s="1157" t="s">
        <v>831</v>
      </c>
    </row>
    <row r="29" spans="1:3" ht="14.25">
      <c r="A29" s="3418"/>
      <c r="B29" s="3422"/>
      <c r="C29" s="1157" t="s">
        <v>832</v>
      </c>
    </row>
    <row r="30" spans="1:3" ht="14.25">
      <c r="A30" s="3418"/>
      <c r="B30" s="3422"/>
      <c r="C30" s="1157" t="s">
        <v>833</v>
      </c>
    </row>
    <row r="31" spans="1:3" ht="14.25">
      <c r="A31" s="3418"/>
      <c r="B31" s="3422"/>
      <c r="C31" s="1157" t="s">
        <v>834</v>
      </c>
    </row>
    <row r="32" spans="1:3" ht="14.25">
      <c r="A32" s="3418"/>
      <c r="B32" s="3422"/>
      <c r="C32" s="1157" t="s">
        <v>1634</v>
      </c>
    </row>
    <row r="33" spans="1:3" ht="14.25">
      <c r="A33" s="3418"/>
      <c r="B33" s="3412" t="s">
        <v>1640</v>
      </c>
      <c r="C33" s="1157" t="s">
        <v>1635</v>
      </c>
    </row>
    <row r="34" spans="1:3" ht="14.25">
      <c r="A34" s="3418"/>
      <c r="B34" s="3413"/>
      <c r="C34" s="1162" t="s">
        <v>1636</v>
      </c>
    </row>
    <row r="35" spans="1:3" ht="14.25">
      <c r="A35" s="3418"/>
      <c r="B35" s="3413"/>
      <c r="C35" s="1163" t="s">
        <v>1637</v>
      </c>
    </row>
    <row r="36" spans="1:3" ht="14.25">
      <c r="A36" s="3418"/>
      <c r="B36" s="3413"/>
      <c r="C36" s="1163" t="s">
        <v>1638</v>
      </c>
    </row>
    <row r="37" spans="1:3" ht="14.25">
      <c r="A37" s="3418"/>
      <c r="B37" s="3414"/>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1:G22"/>
  <sheetViews>
    <sheetView view="pageBreakPreview" zoomScale="80" zoomScaleNormal="100" zoomScaleSheetLayoutView="80" workbookViewId="0">
      <selection activeCell="A29" sqref="A29"/>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1895</v>
      </c>
      <c r="B2" s="3025">
        <f ca="1">TODAY()</f>
        <v>44421</v>
      </c>
      <c r="C2" s="3026" t="s">
        <v>1896</v>
      </c>
      <c r="D2" s="3026"/>
      <c r="E2" s="3023"/>
      <c r="F2" s="3023"/>
      <c r="G2" s="3023"/>
    </row>
    <row r="3" spans="1:7" ht="20.25" customHeight="1">
      <c r="A3" s="3047" t="s">
        <v>1897</v>
      </c>
      <c r="B3" s="3028" t="s">
        <v>1898</v>
      </c>
      <c r="C3" s="3029" t="s">
        <v>1899</v>
      </c>
      <c r="D3" s="3048" t="s">
        <v>1900</v>
      </c>
      <c r="E3" s="3028" t="s">
        <v>1901</v>
      </c>
      <c r="F3" s="3028" t="s">
        <v>1899</v>
      </c>
      <c r="G3" s="3023"/>
    </row>
    <row r="4" spans="1:7" ht="20.25" customHeight="1">
      <c r="A4" s="3028" t="s">
        <v>1902</v>
      </c>
      <c r="B4" s="3028">
        <f ca="1">IF(C4&lt;B2,"已过期",1119970066)</f>
        <v>1119970066</v>
      </c>
      <c r="C4" s="3031">
        <v>44876</v>
      </c>
      <c r="D4" s="3039" t="s">
        <v>1902</v>
      </c>
      <c r="E4" s="3028">
        <f ca="1">IF(F4&lt;B2,"已过期",96010014)</f>
        <v>96010014</v>
      </c>
      <c r="F4" s="3030">
        <v>47118</v>
      </c>
      <c r="G4" s="3023"/>
    </row>
    <row r="5" spans="1:7" ht="20.25" customHeight="1">
      <c r="A5" s="3028" t="s">
        <v>1903</v>
      </c>
      <c r="B5" s="3028">
        <f ca="1">IF(C5&lt;B2,"已过期",1119970111)</f>
        <v>1119970111</v>
      </c>
      <c r="C5" s="3031">
        <v>44876</v>
      </c>
      <c r="D5" s="3039" t="s">
        <v>1903</v>
      </c>
      <c r="E5" s="3028">
        <f ca="1">IF(F5&lt;B2,"已过期",94010078)</f>
        <v>94010078</v>
      </c>
      <c r="F5" s="3030">
        <v>46387</v>
      </c>
      <c r="G5" s="3023"/>
    </row>
    <row r="6" spans="1:7" ht="20.25" customHeight="1">
      <c r="A6" s="3028" t="s">
        <v>1904</v>
      </c>
      <c r="B6" s="3028" t="str">
        <f ca="1">IF(C6&lt;B2,"已过期",1120050019)</f>
        <v>已过期</v>
      </c>
      <c r="C6" s="3031">
        <v>44395</v>
      </c>
      <c r="D6" s="3039" t="s">
        <v>1904</v>
      </c>
      <c r="E6" s="3028">
        <f ca="1">IF(F6&lt;B2,"已过期",2002110030)</f>
        <v>2002110030</v>
      </c>
      <c r="F6" s="3030">
        <v>46387</v>
      </c>
      <c r="G6" s="3023"/>
    </row>
    <row r="7" spans="1:7" ht="20.25" customHeight="1">
      <c r="A7" s="3028" t="s">
        <v>1905</v>
      </c>
      <c r="B7" s="3028">
        <f ca="1">IF(C7&lt;B2,"已过期",1120000080)</f>
        <v>1120000080</v>
      </c>
      <c r="C7" s="3031">
        <v>44876</v>
      </c>
      <c r="D7" s="3039" t="s">
        <v>1905</v>
      </c>
      <c r="E7" s="3028">
        <f ca="1">IF(F7&lt;B2,"已过期",2000110082)</f>
        <v>2000110082</v>
      </c>
      <c r="F7" s="3030">
        <v>46387</v>
      </c>
      <c r="G7" s="3023"/>
    </row>
    <row r="8" spans="1:7" ht="20.25" customHeight="1">
      <c r="A8" s="3028" t="s">
        <v>1906</v>
      </c>
      <c r="B8" s="3028">
        <f ca="1">IF(C8&lt;B2,"已过期",1419970001)</f>
        <v>1419970001</v>
      </c>
      <c r="C8" s="3031">
        <v>44899</v>
      </c>
      <c r="D8" s="3039" t="s">
        <v>1906</v>
      </c>
      <c r="E8" s="3028">
        <f ca="1">IF(F8&lt;B2,"已过期",2002110125)</f>
        <v>2002110125</v>
      </c>
      <c r="F8" s="3030">
        <v>47118</v>
      </c>
      <c r="G8" s="3023"/>
    </row>
    <row r="9" spans="1:7" ht="20.25" customHeight="1">
      <c r="A9" s="3028" t="s">
        <v>1907</v>
      </c>
      <c r="B9" s="3028">
        <f ca="1">IF(C9&lt;B2,"已过期",1120060040)</f>
        <v>1120060040</v>
      </c>
      <c r="C9" s="3031">
        <v>44554</v>
      </c>
      <c r="D9" s="3039" t="s">
        <v>1907</v>
      </c>
      <c r="E9" s="3028">
        <f ca="1">IF(F9&lt;B2,"已过期",2004110096)</f>
        <v>2004110096</v>
      </c>
      <c r="F9" s="3030">
        <v>47118</v>
      </c>
      <c r="G9" s="3023"/>
    </row>
    <row r="10" spans="1:7" ht="20.25" customHeight="1">
      <c r="A10" s="3028" t="s">
        <v>1908</v>
      </c>
      <c r="B10" s="3028">
        <f ca="1">IF(C10&lt;B2,"已过期",1120100036)</f>
        <v>1120100036</v>
      </c>
      <c r="C10" s="3031">
        <v>44675</v>
      </c>
      <c r="D10" s="3039" t="s">
        <v>1908</v>
      </c>
      <c r="E10" s="3028">
        <f ca="1">IF(F10&lt;B2,"已过期",2010110070)</f>
        <v>2010110070</v>
      </c>
      <c r="F10" s="3030">
        <v>47907</v>
      </c>
      <c r="G10" s="3023"/>
    </row>
    <row r="11" spans="1:7" ht="20.25" customHeight="1">
      <c r="A11" s="3028" t="s">
        <v>1909</v>
      </c>
      <c r="B11" s="3028">
        <f ca="1">IF(C11&lt;B2,"已过期",1120070131)</f>
        <v>1120070131</v>
      </c>
      <c r="C11" s="3031">
        <v>44849</v>
      </c>
      <c r="D11" s="3039" t="s">
        <v>1909</v>
      </c>
      <c r="E11" s="3028">
        <f ca="1">IF(F11&lt;B2,"已过期",2014110011)</f>
        <v>2014110011</v>
      </c>
      <c r="F11" s="3030">
        <v>49302</v>
      </c>
      <c r="G11" s="3023"/>
    </row>
    <row r="12" spans="1:7" ht="20.25" customHeight="1">
      <c r="A12" s="3028" t="s">
        <v>2940</v>
      </c>
      <c r="B12" s="3028">
        <f ca="1">IF(C12&lt;B2,"已过期",1120040230)</f>
        <v>1120040230</v>
      </c>
      <c r="C12" s="3031">
        <v>44864</v>
      </c>
      <c r="D12" s="3039" t="s">
        <v>2941</v>
      </c>
      <c r="E12" s="3028">
        <f ca="1">IF(F12&lt;B2,"已过期",98030020)</f>
        <v>98030020</v>
      </c>
      <c r="F12" s="3030">
        <v>47118</v>
      </c>
      <c r="G12" s="3023"/>
    </row>
    <row r="13" spans="1:7" ht="20.25" customHeight="1">
      <c r="A13" s="3028"/>
      <c r="B13" s="3028"/>
      <c r="C13" s="3031"/>
      <c r="D13" s="3039" t="s">
        <v>1910</v>
      </c>
      <c r="E13" s="3028">
        <f ca="1">IF(F13&lt;B2,"已过期",2011110090)</f>
        <v>2011110090</v>
      </c>
      <c r="F13" s="3030">
        <v>48302</v>
      </c>
      <c r="G13" s="3023"/>
    </row>
    <row r="14" spans="1:7" ht="20.25" customHeight="1">
      <c r="A14" s="3028" t="s">
        <v>1911</v>
      </c>
      <c r="B14" s="3028" t="str">
        <f ca="1">IF(C14&lt;B2,"已过期",1120020033)</f>
        <v>已过期</v>
      </c>
      <c r="C14" s="3031">
        <v>44339</v>
      </c>
      <c r="D14" s="3039" t="s">
        <v>1911</v>
      </c>
      <c r="E14" s="3028">
        <f ca="1">IF(F14&lt;B2,"已过期",2000110137)</f>
        <v>2000110137</v>
      </c>
      <c r="F14" s="3030">
        <v>46387</v>
      </c>
      <c r="G14" s="3023"/>
    </row>
    <row r="15" spans="1:7" ht="20.25" customHeight="1">
      <c r="A15" s="3028" t="s">
        <v>2952</v>
      </c>
      <c r="B15" s="3028" t="str">
        <f ca="1">IF(C14&lt;B2,"已过期",1119980106)</f>
        <v>已过期</v>
      </c>
      <c r="C15" s="3031">
        <v>44969</v>
      </c>
      <c r="D15" s="3039"/>
      <c r="E15" s="3028"/>
      <c r="F15" s="3028"/>
      <c r="G15" s="3023"/>
    </row>
    <row r="16" spans="1:7" s="2829" customFormat="1" ht="20.25" customHeight="1">
      <c r="A16" s="3027" t="s">
        <v>2039</v>
      </c>
      <c r="B16" s="3027" t="s">
        <v>2039</v>
      </c>
      <c r="C16" s="3031"/>
      <c r="D16" s="3040" t="s">
        <v>2039</v>
      </c>
      <c r="E16" s="3028" t="s">
        <v>2039</v>
      </c>
      <c r="F16" s="3030"/>
      <c r="G16" s="3032"/>
    </row>
    <row r="17" spans="1:7" ht="20.25" customHeight="1">
      <c r="A17" s="3426" t="s">
        <v>1912</v>
      </c>
      <c r="B17" s="3427"/>
      <c r="C17" s="3427"/>
      <c r="D17" s="3427"/>
      <c r="E17" s="3427"/>
      <c r="F17" s="3427"/>
      <c r="G17" s="3032"/>
    </row>
    <row r="18" spans="1:7" ht="20.25" customHeight="1">
      <c r="A18" s="3423" t="s">
        <v>1913</v>
      </c>
      <c r="B18" s="3423"/>
      <c r="C18" s="3424"/>
      <c r="D18" s="3425" t="s">
        <v>1914</v>
      </c>
      <c r="E18" s="3423"/>
      <c r="F18" s="3423"/>
      <c r="G18" s="3032"/>
    </row>
    <row r="19" spans="1:7" s="2827" customFormat="1" ht="20.25" customHeight="1">
      <c r="A19" s="3033" t="s">
        <v>1915</v>
      </c>
      <c r="B19" s="3034" t="s">
        <v>1916</v>
      </c>
      <c r="C19" s="3041" t="s">
        <v>1917</v>
      </c>
      <c r="D19" s="3039" t="s">
        <v>1915</v>
      </c>
      <c r="E19" s="3034" t="s">
        <v>1916</v>
      </c>
      <c r="F19" s="3034" t="s">
        <v>1917</v>
      </c>
      <c r="G19" s="3024"/>
    </row>
    <row r="20" spans="1:7" s="2827" customFormat="1" ht="20.25" customHeight="1">
      <c r="A20" s="3035" t="s">
        <v>1918</v>
      </c>
      <c r="B20" s="3035" t="s">
        <v>1919</v>
      </c>
      <c r="C20" s="3042">
        <v>44820</v>
      </c>
      <c r="D20" s="3044" t="s">
        <v>1920</v>
      </c>
      <c r="E20" s="3035" t="s">
        <v>1921</v>
      </c>
      <c r="F20" s="3036">
        <v>44377</v>
      </c>
      <c r="G20" s="3024"/>
    </row>
    <row r="21" spans="1:7" s="2827" customFormat="1" ht="20.25" customHeight="1">
      <c r="A21" s="3035"/>
      <c r="B21" s="3035"/>
      <c r="C21" s="3043"/>
      <c r="D21" s="3044" t="s">
        <v>1922</v>
      </c>
      <c r="E21" s="3035" t="s">
        <v>2951</v>
      </c>
      <c r="F21" s="3036">
        <v>44012</v>
      </c>
      <c r="G21" s="3024"/>
    </row>
    <row r="22" spans="1:7" ht="20.25" customHeight="1">
      <c r="A22" s="3023"/>
      <c r="B22" s="3023"/>
      <c r="C22" s="3037"/>
      <c r="D22" s="3045"/>
      <c r="E22" s="3046"/>
      <c r="F22" s="3038" t="s">
        <v>2965</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40" priority="149">
      <formula>AND($C5-TODAY()&lt;30,TODAY()&lt;$C5)</formula>
    </cfRule>
  </conditionalFormatting>
  <conditionalFormatting sqref="C20">
    <cfRule type="expression" dxfId="239" priority="148">
      <formula>AND($C20-TODAY()&lt;30,TODAY()&lt;$C20)</formula>
    </cfRule>
  </conditionalFormatting>
  <conditionalFormatting sqref="C20 F4 C5 C13">
    <cfRule type="cellIs" dxfId="238" priority="150" stopIfTrue="1" operator="lessThan">
      <formula>$B$2</formula>
    </cfRule>
  </conditionalFormatting>
  <conditionalFormatting sqref="F5 F7 F9">
    <cfRule type="cellIs" dxfId="237" priority="144" stopIfTrue="1" operator="lessThan">
      <formula>$B$2</formula>
    </cfRule>
  </conditionalFormatting>
  <conditionalFormatting sqref="C16:D16">
    <cfRule type="expression" dxfId="236" priority="142">
      <formula>AND($C16-TODAY()&lt;30,TODAY()&lt;$C16)</formula>
    </cfRule>
  </conditionalFormatting>
  <conditionalFormatting sqref="F6 F8 F10 C16:D16">
    <cfRule type="cellIs" dxfId="235" priority="143" stopIfTrue="1" operator="lessThan">
      <formula>$B$2</formula>
    </cfRule>
  </conditionalFormatting>
  <conditionalFormatting sqref="F14">
    <cfRule type="cellIs" dxfId="234" priority="114" stopIfTrue="1" operator="lessThan">
      <formula>$B$2</formula>
    </cfRule>
  </conditionalFormatting>
  <conditionalFormatting sqref="F13">
    <cfRule type="cellIs" dxfId="233" priority="113" stopIfTrue="1" operator="lessThan">
      <formula>$B$2</formula>
    </cfRule>
  </conditionalFormatting>
  <conditionalFormatting sqref="B4:B11 E4:E11 E13:E15 B13:B15">
    <cfRule type="cellIs" dxfId="232" priority="111" stopIfTrue="1" operator="equal">
      <formula>"已过期"</formula>
    </cfRule>
  </conditionalFormatting>
  <conditionalFormatting sqref="F20">
    <cfRule type="cellIs" dxfId="231" priority="108" stopIfTrue="1" operator="lessThan">
      <formula>$B$2</formula>
    </cfRule>
  </conditionalFormatting>
  <conditionalFormatting sqref="F20">
    <cfRule type="expression" dxfId="230" priority="152">
      <formula>AND($E20-TODAY()&lt;30,TODAY()&lt;$E20)</formula>
    </cfRule>
  </conditionalFormatting>
  <conditionalFormatting sqref="C6">
    <cfRule type="expression" dxfId="229" priority="82">
      <formula>AND($C6-TODAY()&lt;30,TODAY()&lt;$C6)</formula>
    </cfRule>
  </conditionalFormatting>
  <conditionalFormatting sqref="C6">
    <cfRule type="cellIs" dxfId="228" priority="83" stopIfTrue="1" operator="lessThan">
      <formula>$B$2</formula>
    </cfRule>
  </conditionalFormatting>
  <conditionalFormatting sqref="C11 C15">
    <cfRule type="expression" dxfId="227" priority="80">
      <formula>AND($C11-TODAY()&lt;30,TODAY()&lt;$C11)</formula>
    </cfRule>
  </conditionalFormatting>
  <conditionalFormatting sqref="C11 C15">
    <cfRule type="cellIs" dxfId="226" priority="81" stopIfTrue="1" operator="lessThan">
      <formula>$B$2</formula>
    </cfRule>
  </conditionalFormatting>
  <conditionalFormatting sqref="F11">
    <cfRule type="cellIs" dxfId="225" priority="79" stopIfTrue="1" operator="lessThan">
      <formula>$B$2</formula>
    </cfRule>
  </conditionalFormatting>
  <conditionalFormatting sqref="C14">
    <cfRule type="expression" dxfId="224" priority="60">
      <formula>AND($C14-TODAY()&lt;30,TODAY()&lt;$C14)</formula>
    </cfRule>
  </conditionalFormatting>
  <conditionalFormatting sqref="C14">
    <cfRule type="cellIs" dxfId="223" priority="61" stopIfTrue="1" operator="lessThan">
      <formula>$B$2</formula>
    </cfRule>
  </conditionalFormatting>
  <conditionalFormatting sqref="C12">
    <cfRule type="cellIs" dxfId="222" priority="54" stopIfTrue="1" operator="lessThan">
      <formula>$B$2</formula>
    </cfRule>
  </conditionalFormatting>
  <conditionalFormatting sqref="C12">
    <cfRule type="expression" dxfId="221" priority="51">
      <formula>AND($C12-TODAY()&lt;30,TODAY()&lt;$C12)</formula>
    </cfRule>
  </conditionalFormatting>
  <conditionalFormatting sqref="C12">
    <cfRule type="cellIs" dxfId="220" priority="52" stopIfTrue="1" operator="lessThan">
      <formula>$B$2</formula>
    </cfRule>
  </conditionalFormatting>
  <conditionalFormatting sqref="B12">
    <cfRule type="cellIs" dxfId="219" priority="48" stopIfTrue="1" operator="equal">
      <formula>"已过期"</formula>
    </cfRule>
  </conditionalFormatting>
  <conditionalFormatting sqref="E12">
    <cfRule type="cellIs" dxfId="218" priority="38" stopIfTrue="1" operator="equal">
      <formula>"已过期"</formula>
    </cfRule>
  </conditionalFormatting>
  <conditionalFormatting sqref="F12">
    <cfRule type="cellIs" dxfId="217" priority="37" stopIfTrue="1" operator="lessThan">
      <formula>$B$2</formula>
    </cfRule>
  </conditionalFormatting>
  <conditionalFormatting sqref="C9:C10">
    <cfRule type="expression" dxfId="216" priority="33">
      <formula>AND($C9-TODAY()&lt;30,TODAY()&lt;$C9)</formula>
    </cfRule>
  </conditionalFormatting>
  <conditionalFormatting sqref="C9:C10">
    <cfRule type="cellIs" dxfId="215" priority="34" stopIfTrue="1" operator="lessThan">
      <formula>$B$2</formula>
    </cfRule>
  </conditionalFormatting>
  <conditionalFormatting sqref="F21">
    <cfRule type="cellIs" dxfId="214" priority="13" stopIfTrue="1" operator="lessThan">
      <formula>$B$2</formula>
    </cfRule>
  </conditionalFormatting>
  <conditionalFormatting sqref="F21">
    <cfRule type="expression" dxfId="213" priority="14">
      <formula>AND($E21-TODAY()&lt;30,TODAY()&lt;$E21)</formula>
    </cfRule>
  </conditionalFormatting>
  <conditionalFormatting sqref="C7:C8">
    <cfRule type="expression" dxfId="212" priority="5">
      <formula>AND($C7-TODAY()&lt;30,TODAY()&lt;$C7)</formula>
    </cfRule>
  </conditionalFormatting>
  <conditionalFormatting sqref="C7:C8">
    <cfRule type="cellIs" dxfId="211" priority="6" stopIfTrue="1" operator="lessThan">
      <formula>$B$2</formula>
    </cfRule>
  </conditionalFormatting>
  <conditionalFormatting sqref="C7:C8">
    <cfRule type="expression" dxfId="210" priority="3">
      <formula>AND($C7-TODAY()&lt;30,TODAY()&lt;$C7)</formula>
    </cfRule>
  </conditionalFormatting>
  <conditionalFormatting sqref="C7:C8">
    <cfRule type="cellIs" dxfId="209" priority="4" stopIfTrue="1" operator="lessThan">
      <formula>$B$2</formula>
    </cfRule>
  </conditionalFormatting>
  <conditionalFormatting sqref="C4">
    <cfRule type="expression" dxfId="208" priority="1">
      <formula>AND($C4-TODAY()&lt;30,TODAY()&lt;$C4)</formula>
    </cfRule>
  </conditionalFormatting>
  <conditionalFormatting sqref="C4">
    <cfRule type="cellIs" dxfId="207"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topLeftCell="A13" workbookViewId="0">
      <selection activeCell="B26" sqref="B26"/>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846</v>
      </c>
      <c r="B1" s="5" t="s">
        <v>131</v>
      </c>
      <c r="C1" s="1487"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1" t="s">
        <v>2524</v>
      </c>
      <c r="R1" s="2430" t="s">
        <v>2518</v>
      </c>
      <c r="S1" s="6" t="s">
        <v>145</v>
      </c>
      <c r="T1" s="7" t="s">
        <v>146</v>
      </c>
      <c r="U1" s="6" t="s">
        <v>147</v>
      </c>
      <c r="V1" s="6" t="s">
        <v>148</v>
      </c>
      <c r="W1" s="990" t="s">
        <v>863</v>
      </c>
    </row>
    <row r="2" spans="1:23">
      <c r="A2" s="8" t="s">
        <v>73</v>
      </c>
      <c r="B2" s="1130" t="s">
        <v>3036</v>
      </c>
      <c r="C2" s="1488"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9"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8"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8"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3033</v>
      </c>
      <c r="C6" s="1490"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8" t="s">
        <v>1702</v>
      </c>
      <c r="F7" s="9" t="s">
        <v>152</v>
      </c>
      <c r="H7" s="9" t="s">
        <v>104</v>
      </c>
      <c r="I7" s="9" t="s">
        <v>105</v>
      </c>
    </row>
    <row r="8" spans="1:23">
      <c r="A8" s="8" t="s">
        <v>106</v>
      </c>
      <c r="B8" s="1130" t="s">
        <v>3077</v>
      </c>
      <c r="C8" s="1488" t="s">
        <v>1703</v>
      </c>
      <c r="F8" s="9" t="s">
        <v>153</v>
      </c>
      <c r="H8" s="9"/>
      <c r="I8" s="9" t="s">
        <v>107</v>
      </c>
    </row>
    <row r="9" spans="1:23">
      <c r="A9" s="8" t="s">
        <v>108</v>
      </c>
      <c r="B9" s="8" t="s">
        <v>154</v>
      </c>
      <c r="C9" s="1488" t="s">
        <v>1704</v>
      </c>
      <c r="F9" s="9" t="s">
        <v>109</v>
      </c>
      <c r="H9" s="9"/>
    </row>
    <row r="10" spans="1:23">
      <c r="A10" s="8" t="s">
        <v>110</v>
      </c>
      <c r="B10" s="8" t="s">
        <v>155</v>
      </c>
      <c r="C10" s="1488" t="s">
        <v>1705</v>
      </c>
      <c r="F10" s="9" t="s">
        <v>6</v>
      </c>
    </row>
    <row r="11" spans="1:23">
      <c r="A11" s="8" t="s">
        <v>111</v>
      </c>
      <c r="B11" s="8" t="s">
        <v>156</v>
      </c>
      <c r="C11" s="1488" t="s">
        <v>1706</v>
      </c>
    </row>
    <row r="12" spans="1:23">
      <c r="A12" s="8" t="s">
        <v>112</v>
      </c>
      <c r="B12" s="8" t="s">
        <v>157</v>
      </c>
      <c r="C12" s="1488" t="s">
        <v>1707</v>
      </c>
    </row>
    <row r="13" spans="1:23">
      <c r="A13" s="8" t="s">
        <v>113</v>
      </c>
      <c r="B13" s="8" t="s">
        <v>158</v>
      </c>
      <c r="C13" s="1488" t="s">
        <v>1708</v>
      </c>
    </row>
    <row r="14" spans="1:23">
      <c r="A14" s="8" t="s">
        <v>114</v>
      </c>
      <c r="B14" s="8" t="s">
        <v>159</v>
      </c>
      <c r="C14" s="1491" t="s">
        <v>1884</v>
      </c>
    </row>
    <row r="15" spans="1:23">
      <c r="A15" s="8" t="s">
        <v>115</v>
      </c>
      <c r="B15" s="8" t="s">
        <v>1669</v>
      </c>
      <c r="C15" s="1491"/>
    </row>
    <row r="16" spans="1:23">
      <c r="A16" s="8" t="s">
        <v>116</v>
      </c>
      <c r="B16" s="8" t="s">
        <v>1670</v>
      </c>
      <c r="C16" s="1491"/>
    </row>
    <row r="17" spans="1:3">
      <c r="A17" s="8" t="s">
        <v>117</v>
      </c>
      <c r="B17" s="8" t="s">
        <v>1671</v>
      </c>
      <c r="C17" s="1491"/>
    </row>
    <row r="18" spans="1:3">
      <c r="A18" s="8" t="s">
        <v>118</v>
      </c>
      <c r="B18" s="2790" t="s">
        <v>2916</v>
      </c>
      <c r="C18" s="1491"/>
    </row>
    <row r="19" spans="1:3">
      <c r="A19" s="8" t="s">
        <v>119</v>
      </c>
      <c r="B19" s="2790" t="s">
        <v>2923</v>
      </c>
      <c r="C19" s="1491"/>
    </row>
    <row r="20" spans="1:3">
      <c r="A20" s="8" t="s">
        <v>120</v>
      </c>
      <c r="B20" s="2790" t="s">
        <v>2966</v>
      </c>
      <c r="C20" s="1491"/>
    </row>
    <row r="21" spans="1:3">
      <c r="A21" s="8" t="s">
        <v>121</v>
      </c>
      <c r="B21" s="2790" t="s">
        <v>3034</v>
      </c>
      <c r="C21" s="1491"/>
    </row>
    <row r="22" spans="1:3">
      <c r="A22" s="8" t="s">
        <v>122</v>
      </c>
      <c r="B22" s="2790" t="s">
        <v>3035</v>
      </c>
      <c r="C22" s="1491"/>
    </row>
    <row r="23" spans="1:3">
      <c r="A23" s="8" t="s">
        <v>123</v>
      </c>
      <c r="B23" s="2790" t="s">
        <v>3037</v>
      </c>
      <c r="C23" s="1491"/>
    </row>
    <row r="24" spans="1:3">
      <c r="A24" s="8" t="s">
        <v>12</v>
      </c>
      <c r="B24" s="2790" t="s">
        <v>3038</v>
      </c>
      <c r="C24" s="1491"/>
    </row>
    <row r="25" spans="1:3">
      <c r="A25" s="8" t="s">
        <v>124</v>
      </c>
      <c r="B25" s="2790" t="s">
        <v>3079</v>
      </c>
      <c r="C25" s="1491"/>
    </row>
    <row r="26" spans="1:3">
      <c r="A26" s="8" t="s">
        <v>125</v>
      </c>
      <c r="B26" s="8" t="s">
        <v>1629</v>
      </c>
      <c r="C26" s="1491"/>
    </row>
    <row r="27" spans="1:3">
      <c r="A27" s="8" t="s">
        <v>1629</v>
      </c>
      <c r="B27" s="8" t="s">
        <v>1629</v>
      </c>
      <c r="C27" s="1491"/>
    </row>
    <row r="28" spans="1:3">
      <c r="A28" s="8" t="s">
        <v>1629</v>
      </c>
      <c r="B28" s="8" t="s">
        <v>1629</v>
      </c>
      <c r="C28" s="1491"/>
    </row>
    <row r="29" spans="1:3">
      <c r="A29" s="8" t="s">
        <v>1629</v>
      </c>
      <c r="B29" s="8" t="s">
        <v>1629</v>
      </c>
      <c r="C29" s="1491"/>
    </row>
    <row r="30" spans="1:3">
      <c r="A30" s="8" t="s">
        <v>1629</v>
      </c>
      <c r="B30" s="8" t="s">
        <v>1629</v>
      </c>
      <c r="C30" s="1491"/>
    </row>
    <row r="31" spans="1:3">
      <c r="A31" s="8" t="s">
        <v>1629</v>
      </c>
      <c r="B31" s="8" t="s">
        <v>1629</v>
      </c>
      <c r="C31" s="1491"/>
    </row>
    <row r="32" spans="1:3">
      <c r="A32" s="8" t="s">
        <v>1629</v>
      </c>
      <c r="B32" s="8" t="s">
        <v>1629</v>
      </c>
      <c r="C32" s="1491"/>
    </row>
    <row r="33" spans="1:3">
      <c r="A33" s="8" t="s">
        <v>1629</v>
      </c>
      <c r="B33" s="8" t="s">
        <v>1629</v>
      </c>
      <c r="C33" s="1491"/>
    </row>
    <row r="34" spans="1:3">
      <c r="A34" s="8" t="s">
        <v>1629</v>
      </c>
      <c r="B34" s="8" t="s">
        <v>1629</v>
      </c>
      <c r="C34" s="1491"/>
    </row>
    <row r="35" spans="1:3">
      <c r="A35" s="8" t="s">
        <v>1629</v>
      </c>
      <c r="B35" s="8" t="s">
        <v>1629</v>
      </c>
      <c r="C35" s="1491"/>
    </row>
    <row r="36" spans="1:3">
      <c r="A36" s="8" t="s">
        <v>1629</v>
      </c>
      <c r="B36" s="8" t="s">
        <v>1629</v>
      </c>
      <c r="C36" s="1491"/>
    </row>
    <row r="37" spans="1:3">
      <c r="A37" s="8" t="s">
        <v>1629</v>
      </c>
      <c r="B37" s="8" t="s">
        <v>1629</v>
      </c>
      <c r="C37" s="1491"/>
    </row>
    <row r="38" spans="1:3">
      <c r="A38" s="8" t="s">
        <v>1629</v>
      </c>
      <c r="B38" s="8" t="s">
        <v>1629</v>
      </c>
      <c r="C38" s="1491"/>
    </row>
    <row r="39" spans="1:3">
      <c r="A39" s="8" t="s">
        <v>1629</v>
      </c>
      <c r="B39" s="8" t="s">
        <v>1629</v>
      </c>
      <c r="C39" s="1491"/>
    </row>
    <row r="40" spans="1:3">
      <c r="A40" s="8" t="s">
        <v>1629</v>
      </c>
      <c r="B40" s="8" t="s">
        <v>1629</v>
      </c>
      <c r="C40" s="1491"/>
    </row>
    <row r="41" spans="1:3">
      <c r="A41" s="8" t="s">
        <v>1629</v>
      </c>
      <c r="B41" s="8" t="s">
        <v>1629</v>
      </c>
      <c r="C41" s="1491"/>
    </row>
    <row r="42" spans="1:3">
      <c r="A42" s="8" t="s">
        <v>1629</v>
      </c>
      <c r="B42" s="8" t="s">
        <v>1629</v>
      </c>
      <c r="C42" s="1491"/>
    </row>
    <row r="43" spans="1:3">
      <c r="A43" s="8" t="s">
        <v>1629</v>
      </c>
      <c r="B43" s="8" t="s">
        <v>1629</v>
      </c>
      <c r="C43" s="1491"/>
    </row>
    <row r="44" spans="1:3">
      <c r="A44" s="8" t="s">
        <v>1629</v>
      </c>
      <c r="B44" s="8" t="s">
        <v>1629</v>
      </c>
      <c r="C44" s="1491"/>
    </row>
    <row r="45" spans="1:3">
      <c r="A45" s="8" t="s">
        <v>1629</v>
      </c>
      <c r="B45" s="8" t="s">
        <v>1629</v>
      </c>
      <c r="C45" s="1491"/>
    </row>
    <row r="46" spans="1:3">
      <c r="A46" s="8" t="s">
        <v>1629</v>
      </c>
      <c r="B46" s="8" t="s">
        <v>1629</v>
      </c>
      <c r="C46" s="1491"/>
    </row>
    <row r="47" spans="1:3">
      <c r="A47" s="8" t="s">
        <v>1629</v>
      </c>
      <c r="B47" s="8" t="s">
        <v>1629</v>
      </c>
      <c r="C47" s="1491"/>
    </row>
    <row r="48" spans="1:3">
      <c r="A48" s="8" t="s">
        <v>1629</v>
      </c>
      <c r="B48" s="8" t="s">
        <v>1629</v>
      </c>
      <c r="C48" s="1491"/>
    </row>
    <row r="49" spans="1:5">
      <c r="A49" s="8" t="s">
        <v>1629</v>
      </c>
      <c r="B49" s="8" t="s">
        <v>1629</v>
      </c>
      <c r="C49" s="1491"/>
    </row>
    <row r="50" spans="1:5">
      <c r="A50" s="8" t="s">
        <v>1629</v>
      </c>
      <c r="B50" s="8" t="s">
        <v>1629</v>
      </c>
      <c r="C50" s="1491"/>
    </row>
    <row r="51" spans="1:5">
      <c r="A51" s="1681" t="s">
        <v>1928</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683"/>
    </row>
    <row r="52" spans="1:5">
      <c r="A52" s="1681" t="s">
        <v>1972</v>
      </c>
      <c r="B52" s="1684" t="s">
        <v>1973</v>
      </c>
      <c r="C52" s="1682" t="s">
        <v>1974</v>
      </c>
      <c r="D52" s="1682" t="s">
        <v>1975</v>
      </c>
      <c r="E52" s="1683"/>
    </row>
    <row r="53" spans="1:5">
      <c r="A53" s="3428" t="s">
        <v>1976</v>
      </c>
      <c r="B53" s="1682" t="s">
        <v>1982</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3"/>
      <c r="E53" s="1683"/>
    </row>
    <row r="54" spans="1:5">
      <c r="A54" s="3428"/>
      <c r="B54" s="1682" t="s">
        <v>1983</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683"/>
      <c r="E54" s="1683"/>
    </row>
    <row r="55" spans="1:5">
      <c r="A55" s="3428"/>
      <c r="B55" s="1682" t="s">
        <v>1977</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683"/>
      <c r="E55" s="1683"/>
    </row>
    <row r="56" spans="1:5">
      <c r="A56" s="3428"/>
      <c r="B56" s="1682" t="s">
        <v>1978</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683"/>
      <c r="E56" s="1683"/>
    </row>
    <row r="57" spans="1:5">
      <c r="A57" s="3428"/>
      <c r="B57" s="1682" t="s">
        <v>1979</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2035</v>
      </c>
      <c r="B58" s="1682"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159</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剩余法商业</vt:lpstr>
      <vt:lpstr>剩余法办公</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基准地价办公</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不动产比较法-办公</vt:lpstr>
      <vt:lpstr>办公案例截图及地图</vt:lpstr>
      <vt:lpstr>不动产收益法商业</vt:lpstr>
      <vt:lpstr>不动产收益法办公</vt:lpstr>
      <vt:lpstr>土地级别</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基准地价住宅!Print_Area</vt:lpstr>
      <vt:lpstr>结果表!Print_Area</vt:lpstr>
      <vt:lpstr>剩余法办公!Print_Area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陈颖</cp:lastModifiedBy>
  <cp:lastPrinted>2017-03-09T08:11:21Z</cp:lastPrinted>
  <dcterms:created xsi:type="dcterms:W3CDTF">2015-07-13T07:17:23Z</dcterms:created>
  <dcterms:modified xsi:type="dcterms:W3CDTF">2021-08-13T07:27:13Z</dcterms:modified>
</cp:coreProperties>
</file>