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8595" yWindow="2025" windowWidth="17280" windowHeight="885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C34" i="34"/>
  <c r="M13" i="3"/>
  <c r="F23" i="69" l="1"/>
  <c r="F20" i="77" s="1"/>
  <c r="F24" i="69"/>
  <c r="F21" i="77" s="1"/>
  <c r="C19" i="72" l="1"/>
  <c r="F35" i="77" l="1"/>
  <c r="F35" i="15" l="1"/>
  <c r="E5" i="33"/>
  <c r="D29" i="72" l="1"/>
  <c r="E5" i="34" l="1"/>
  <c r="G5" i="33"/>
  <c r="E89"/>
  <c r="F89"/>
  <c r="G89"/>
  <c r="D89"/>
  <c r="Q73" i="77" l="1"/>
  <c r="Q60"/>
  <c r="D60"/>
  <c r="Q59"/>
  <c r="K59"/>
  <c r="P75" s="1"/>
  <c r="Q52"/>
  <c r="J50"/>
  <c r="M47"/>
  <c r="F33"/>
  <c r="F60" s="1"/>
  <c r="F23"/>
  <c r="D24" s="1"/>
  <c r="M19"/>
  <c r="F18"/>
  <c r="F17"/>
  <c r="F15"/>
  <c r="D22" l="1"/>
  <c r="P62"/>
  <c r="D23"/>
  <c r="J51"/>
  <c r="E11" i="68"/>
  <c r="E12"/>
  <c r="M14" i="3" l="1"/>
  <c r="K15"/>
  <c r="M15" s="1"/>
  <c r="D8" i="73"/>
  <c r="C8"/>
  <c r="F19" i="6" l="1"/>
  <c r="F113" i="72"/>
  <c r="N99"/>
  <c r="N108" s="1"/>
  <c r="M99"/>
  <c r="L99"/>
  <c r="L108" s="1"/>
  <c r="K99"/>
  <c r="J99"/>
  <c r="J108" s="1"/>
  <c r="I99"/>
  <c r="H99"/>
  <c r="H108" s="1"/>
  <c r="G99"/>
  <c r="F99"/>
  <c r="F108" s="1"/>
  <c r="E99"/>
  <c r="D99"/>
  <c r="D108" s="1"/>
  <c r="C99"/>
  <c r="M87"/>
  <c r="N87" s="1"/>
  <c r="K87"/>
  <c r="J87" s="1"/>
  <c r="D87"/>
  <c r="M86"/>
  <c r="N86" s="1"/>
  <c r="K86"/>
  <c r="J86" s="1"/>
  <c r="D86"/>
  <c r="M85"/>
  <c r="N85" s="1"/>
  <c r="K85"/>
  <c r="J85" s="1"/>
  <c r="D85"/>
  <c r="M84"/>
  <c r="N84" s="1"/>
  <c r="K84"/>
  <c r="J84" s="1"/>
  <c r="D84"/>
  <c r="M83"/>
  <c r="N83" s="1"/>
  <c r="K83"/>
  <c r="J83" s="1"/>
  <c r="D83"/>
  <c r="B83"/>
  <c r="N82"/>
  <c r="M82"/>
  <c r="K82"/>
  <c r="J82" s="1"/>
  <c r="D82"/>
  <c r="B82"/>
  <c r="M81"/>
  <c r="N81" s="1"/>
  <c r="K81"/>
  <c r="J81"/>
  <c r="D81"/>
  <c r="N80"/>
  <c r="M80"/>
  <c r="K80"/>
  <c r="J80" s="1"/>
  <c r="F80"/>
  <c r="H87" s="1"/>
  <c r="D80"/>
  <c r="E80" s="1"/>
  <c r="B78" s="1"/>
  <c r="N77"/>
  <c r="M77"/>
  <c r="K77"/>
  <c r="J77" s="1"/>
  <c r="D77"/>
  <c r="M76"/>
  <c r="N76" s="1"/>
  <c r="K76"/>
  <c r="J76" s="1"/>
  <c r="D76"/>
  <c r="M75"/>
  <c r="N75" s="1"/>
  <c r="K75"/>
  <c r="J75"/>
  <c r="D75"/>
  <c r="M74"/>
  <c r="N74" s="1"/>
  <c r="K74"/>
  <c r="J74"/>
  <c r="D74"/>
  <c r="M73"/>
  <c r="N73" s="1"/>
  <c r="K73"/>
  <c r="J73" s="1"/>
  <c r="D73"/>
  <c r="M72"/>
  <c r="N72" s="1"/>
  <c r="K72"/>
  <c r="J72"/>
  <c r="D72"/>
  <c r="N71"/>
  <c r="M71"/>
  <c r="K71"/>
  <c r="J71" s="1"/>
  <c r="D71"/>
  <c r="B71"/>
  <c r="M70"/>
  <c r="N70" s="1"/>
  <c r="K70"/>
  <c r="J70"/>
  <c r="D70"/>
  <c r="M69"/>
  <c r="N69" s="1"/>
  <c r="K69"/>
  <c r="J69" s="1"/>
  <c r="F69"/>
  <c r="H75" s="1"/>
  <c r="D69"/>
  <c r="E69" s="1"/>
  <c r="B67" s="1"/>
  <c r="B60"/>
  <c r="N55"/>
  <c r="M55"/>
  <c r="K55"/>
  <c r="J55" s="1"/>
  <c r="D55"/>
  <c r="M54"/>
  <c r="N54" s="1"/>
  <c r="K54"/>
  <c r="J54" s="1"/>
  <c r="D54"/>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F47"/>
  <c r="H54" s="1"/>
  <c r="D47"/>
  <c r="H39"/>
  <c r="H38"/>
  <c r="H37"/>
  <c r="H36"/>
  <c r="H35"/>
  <c r="H34"/>
  <c r="H33"/>
  <c r="J20"/>
  <c r="I19"/>
  <c r="C18"/>
  <c r="E4" i="68" s="1"/>
  <c r="F15" i="72"/>
  <c r="E15"/>
  <c r="D15"/>
  <c r="C15"/>
  <c r="Y12"/>
  <c r="Y10"/>
  <c r="C10"/>
  <c r="C11" s="1"/>
  <c r="E8" s="1"/>
  <c r="AJ9"/>
  <c r="AJ12" s="1"/>
  <c r="AI9"/>
  <c r="AI10" s="1"/>
  <c r="AH9"/>
  <c r="AH12" s="1"/>
  <c r="AG9"/>
  <c r="AG10" s="1"/>
  <c r="AF9"/>
  <c r="AF12" s="1"/>
  <c r="AE9"/>
  <c r="AE10" s="1"/>
  <c r="AD9"/>
  <c r="AD12" s="1"/>
  <c r="AC9"/>
  <c r="AC10" s="1"/>
  <c r="AB9"/>
  <c r="AB12" s="1"/>
  <c r="AA9"/>
  <c r="AA10" s="1"/>
  <c r="Z9"/>
  <c r="Z12" s="1"/>
  <c r="C9"/>
  <c r="A7"/>
  <c r="I2"/>
  <c r="M9" s="1"/>
  <c r="G2"/>
  <c r="D1"/>
  <c r="F113" i="71"/>
  <c r="L108"/>
  <c r="L100"/>
  <c r="H100"/>
  <c r="N99"/>
  <c r="N108" s="1"/>
  <c r="M99"/>
  <c r="L99"/>
  <c r="K99"/>
  <c r="J99"/>
  <c r="J108" s="1"/>
  <c r="I99"/>
  <c r="H99"/>
  <c r="H108" s="1"/>
  <c r="G99"/>
  <c r="F99"/>
  <c r="F108" s="1"/>
  <c r="E99"/>
  <c r="D99"/>
  <c r="D100" s="1"/>
  <c r="C99"/>
  <c r="M87"/>
  <c r="N87" s="1"/>
  <c r="K87"/>
  <c r="J87" s="1"/>
  <c r="D87"/>
  <c r="M86"/>
  <c r="N86" s="1"/>
  <c r="K86"/>
  <c r="J86" s="1"/>
  <c r="D86"/>
  <c r="M85"/>
  <c r="N85" s="1"/>
  <c r="K85"/>
  <c r="J85" s="1"/>
  <c r="D85"/>
  <c r="M84"/>
  <c r="N84" s="1"/>
  <c r="K84"/>
  <c r="J84" s="1"/>
  <c r="D84"/>
  <c r="M83"/>
  <c r="N83" s="1"/>
  <c r="K83"/>
  <c r="J83" s="1"/>
  <c r="D83"/>
  <c r="B83"/>
  <c r="M82"/>
  <c r="N82" s="1"/>
  <c r="K82"/>
  <c r="J82" s="1"/>
  <c r="D82"/>
  <c r="B82"/>
  <c r="M81"/>
  <c r="N81" s="1"/>
  <c r="K81"/>
  <c r="J81" s="1"/>
  <c r="D81"/>
  <c r="N80"/>
  <c r="M80"/>
  <c r="K80"/>
  <c r="J80" s="1"/>
  <c r="F80"/>
  <c r="H86" s="1"/>
  <c r="D80"/>
  <c r="M77"/>
  <c r="N77" s="1"/>
  <c r="K77"/>
  <c r="J77"/>
  <c r="D77"/>
  <c r="M76"/>
  <c r="N76" s="1"/>
  <c r="K76"/>
  <c r="J76"/>
  <c r="D76"/>
  <c r="M75"/>
  <c r="N75" s="1"/>
  <c r="K75"/>
  <c r="J75" s="1"/>
  <c r="D75"/>
  <c r="N74"/>
  <c r="M74"/>
  <c r="K74"/>
  <c r="J74" s="1"/>
  <c r="D74"/>
  <c r="M73"/>
  <c r="N73" s="1"/>
  <c r="K73"/>
  <c r="J73"/>
  <c r="D73"/>
  <c r="M72"/>
  <c r="N72" s="1"/>
  <c r="K72"/>
  <c r="J72" s="1"/>
  <c r="D72"/>
  <c r="M71"/>
  <c r="N71" s="1"/>
  <c r="K71"/>
  <c r="J71"/>
  <c r="D71"/>
  <c r="B71"/>
  <c r="M70"/>
  <c r="N70" s="1"/>
  <c r="K70"/>
  <c r="J70" s="1"/>
  <c r="D70"/>
  <c r="M69"/>
  <c r="N69" s="1"/>
  <c r="K69"/>
  <c r="J69"/>
  <c r="F69"/>
  <c r="H75" s="1"/>
  <c r="D69"/>
  <c r="M66"/>
  <c r="N66" s="1"/>
  <c r="K66"/>
  <c r="J66"/>
  <c r="D66"/>
  <c r="N65"/>
  <c r="M65"/>
  <c r="K65"/>
  <c r="J65" s="1"/>
  <c r="D65"/>
  <c r="M64"/>
  <c r="N64" s="1"/>
  <c r="K64"/>
  <c r="J64" s="1"/>
  <c r="D64"/>
  <c r="N63"/>
  <c r="M63"/>
  <c r="K63"/>
  <c r="J63" s="1"/>
  <c r="D63"/>
  <c r="N62"/>
  <c r="M62"/>
  <c r="K62"/>
  <c r="J62" s="1"/>
  <c r="D62"/>
  <c r="M61"/>
  <c r="N61" s="1"/>
  <c r="K61"/>
  <c r="J61" s="1"/>
  <c r="D61"/>
  <c r="M60"/>
  <c r="N60" s="1"/>
  <c r="K60"/>
  <c r="J60" s="1"/>
  <c r="D60"/>
  <c r="B60"/>
  <c r="N59"/>
  <c r="M59"/>
  <c r="K59"/>
  <c r="J59" s="1"/>
  <c r="D59"/>
  <c r="M58"/>
  <c r="N58" s="1"/>
  <c r="K58"/>
  <c r="J58" s="1"/>
  <c r="F58"/>
  <c r="H65" s="1"/>
  <c r="D58"/>
  <c r="B49"/>
  <c r="H39"/>
  <c r="H38"/>
  <c r="H37"/>
  <c r="H36"/>
  <c r="H35"/>
  <c r="H34"/>
  <c r="H33"/>
  <c r="J20"/>
  <c r="I19"/>
  <c r="C18"/>
  <c r="E3" i="68" s="1"/>
  <c r="F15" i="71"/>
  <c r="E15"/>
  <c r="D15"/>
  <c r="C15"/>
  <c r="C12" s="1"/>
  <c r="AH12"/>
  <c r="AB12"/>
  <c r="Z12"/>
  <c r="Y12"/>
  <c r="Y10"/>
  <c r="C10"/>
  <c r="C11" s="1"/>
  <c r="AJ9"/>
  <c r="AJ10" s="1"/>
  <c r="AI9"/>
  <c r="AI12" s="1"/>
  <c r="AH9"/>
  <c r="AH10" s="1"/>
  <c r="AG9"/>
  <c r="AG12" s="1"/>
  <c r="AF9"/>
  <c r="AF10" s="1"/>
  <c r="AE9"/>
  <c r="AE12" s="1"/>
  <c r="AD9"/>
  <c r="AD10" s="1"/>
  <c r="AC9"/>
  <c r="AC12" s="1"/>
  <c r="AB9"/>
  <c r="AB10" s="1"/>
  <c r="AA9"/>
  <c r="AA12" s="1"/>
  <c r="Z9"/>
  <c r="Z10" s="1"/>
  <c r="C9"/>
  <c r="A7"/>
  <c r="I2"/>
  <c r="M12" s="1"/>
  <c r="G2"/>
  <c r="N17" s="1"/>
  <c r="D1"/>
  <c r="F25" i="70"/>
  <c r="C25" s="1"/>
  <c r="F24"/>
  <c r="F23"/>
  <c r="E22"/>
  <c r="E21"/>
  <c r="F17"/>
  <c r="E16"/>
  <c r="F15"/>
  <c r="F14"/>
  <c r="K9"/>
  <c r="J9"/>
  <c r="I9"/>
  <c r="H9"/>
  <c r="G9"/>
  <c r="F9"/>
  <c r="E9"/>
  <c r="D9"/>
  <c r="F25" i="69"/>
  <c r="C25" s="1"/>
  <c r="E22"/>
  <c r="E21"/>
  <c r="F17"/>
  <c r="E16"/>
  <c r="F15"/>
  <c r="F14"/>
  <c r="K9"/>
  <c r="J9"/>
  <c r="I9"/>
  <c r="H9"/>
  <c r="G9"/>
  <c r="F9"/>
  <c r="E9"/>
  <c r="D9"/>
  <c r="K7" i="68"/>
  <c r="N1" i="72" l="1"/>
  <c r="E47"/>
  <c r="B45" s="1"/>
  <c r="E9"/>
  <c r="D108" i="71"/>
  <c r="E10" i="72"/>
  <c r="E58" i="71"/>
  <c r="B56" s="1"/>
  <c r="E11" i="72"/>
  <c r="E69" i="71"/>
  <c r="B67" s="1"/>
  <c r="AA12" i="72"/>
  <c r="AE12"/>
  <c r="AD12" i="71"/>
  <c r="AF12"/>
  <c r="E80"/>
  <c r="B78" s="1"/>
  <c r="AI12" i="72"/>
  <c r="C12"/>
  <c r="AJ12" i="71"/>
  <c r="M1"/>
  <c r="H50" i="72"/>
  <c r="H73"/>
  <c r="H84"/>
  <c r="H47"/>
  <c r="H55"/>
  <c r="H69"/>
  <c r="H77"/>
  <c r="H80"/>
  <c r="M4"/>
  <c r="N6"/>
  <c r="M7"/>
  <c r="M8"/>
  <c r="M1"/>
  <c r="M2"/>
  <c r="N3"/>
  <c r="N5"/>
  <c r="H49"/>
  <c r="H53"/>
  <c r="H71"/>
  <c r="H76"/>
  <c r="H82"/>
  <c r="H80" i="71"/>
  <c r="X7"/>
  <c r="Z10" i="72"/>
  <c r="AD10"/>
  <c r="AH10"/>
  <c r="O17"/>
  <c r="M17"/>
  <c r="K17"/>
  <c r="I17"/>
  <c r="D17"/>
  <c r="H113"/>
  <c r="F39"/>
  <c r="F38"/>
  <c r="F37"/>
  <c r="F36"/>
  <c r="F35"/>
  <c r="F34"/>
  <c r="F33"/>
  <c r="N17"/>
  <c r="L17"/>
  <c r="J17"/>
  <c r="H17"/>
  <c r="C17"/>
  <c r="N12"/>
  <c r="M11"/>
  <c r="M10"/>
  <c r="N2"/>
  <c r="M3"/>
  <c r="N4"/>
  <c r="M5"/>
  <c r="M6"/>
  <c r="N7"/>
  <c r="X7"/>
  <c r="N8"/>
  <c r="N9"/>
  <c r="N10"/>
  <c r="F58" s="1"/>
  <c r="AB10"/>
  <c r="AF10"/>
  <c r="AJ10"/>
  <c r="N11"/>
  <c r="M12"/>
  <c r="AC12"/>
  <c r="AG12"/>
  <c r="H48"/>
  <c r="H51"/>
  <c r="H52"/>
  <c r="H70"/>
  <c r="H72"/>
  <c r="H74"/>
  <c r="H81"/>
  <c r="H83"/>
  <c r="H85"/>
  <c r="H86"/>
  <c r="C108"/>
  <c r="C100"/>
  <c r="E108"/>
  <c r="E100"/>
  <c r="G108"/>
  <c r="G100"/>
  <c r="I108"/>
  <c r="I100"/>
  <c r="K108"/>
  <c r="K100"/>
  <c r="M108"/>
  <c r="M100"/>
  <c r="D100"/>
  <c r="H100"/>
  <c r="L100"/>
  <c r="F100"/>
  <c r="J100"/>
  <c r="N100"/>
  <c r="E11" i="71"/>
  <c r="E10"/>
  <c r="E9"/>
  <c r="E8"/>
  <c r="M10"/>
  <c r="AA10"/>
  <c r="AC10"/>
  <c r="AE10"/>
  <c r="AG10"/>
  <c r="AI10"/>
  <c r="M11"/>
  <c r="N12"/>
  <c r="C17"/>
  <c r="H17"/>
  <c r="J17"/>
  <c r="L17"/>
  <c r="N2"/>
  <c r="M3"/>
  <c r="N4"/>
  <c r="M5"/>
  <c r="M6"/>
  <c r="N7"/>
  <c r="N8"/>
  <c r="N9"/>
  <c r="N1"/>
  <c r="H113"/>
  <c r="F39"/>
  <c r="F38"/>
  <c r="F37"/>
  <c r="F36"/>
  <c r="F35"/>
  <c r="F34"/>
  <c r="F33"/>
  <c r="M2"/>
  <c r="N3"/>
  <c r="M4"/>
  <c r="N5"/>
  <c r="N6"/>
  <c r="M7"/>
  <c r="M8"/>
  <c r="M9"/>
  <c r="N10"/>
  <c r="F47" s="1"/>
  <c r="N11"/>
  <c r="D17"/>
  <c r="I17"/>
  <c r="K17"/>
  <c r="M17"/>
  <c r="O17"/>
  <c r="H58"/>
  <c r="H60"/>
  <c r="H61"/>
  <c r="H64"/>
  <c r="H66"/>
  <c r="H69"/>
  <c r="H71"/>
  <c r="H73"/>
  <c r="H76"/>
  <c r="H77"/>
  <c r="H82"/>
  <c r="H84"/>
  <c r="H87"/>
  <c r="F100"/>
  <c r="J100"/>
  <c r="N100"/>
  <c r="H59"/>
  <c r="H62"/>
  <c r="H63"/>
  <c r="H70"/>
  <c r="H72"/>
  <c r="H74"/>
  <c r="H81"/>
  <c r="H83"/>
  <c r="H85"/>
  <c r="C108"/>
  <c r="C100"/>
  <c r="E108"/>
  <c r="E100"/>
  <c r="G108"/>
  <c r="G100"/>
  <c r="I108"/>
  <c r="I100"/>
  <c r="K108"/>
  <c r="K100"/>
  <c r="M108"/>
  <c r="M100"/>
  <c r="C6" l="1"/>
  <c r="B3" i="68" s="1"/>
  <c r="C7" i="72"/>
  <c r="C6"/>
  <c r="B4" i="68" s="1"/>
  <c r="H65" i="72"/>
  <c r="G65" s="1"/>
  <c r="H64"/>
  <c r="G64" s="1"/>
  <c r="H60"/>
  <c r="G60" s="1"/>
  <c r="H66"/>
  <c r="G66" s="1"/>
  <c r="H61"/>
  <c r="G61" s="1"/>
  <c r="H58"/>
  <c r="G58" s="1"/>
  <c r="H59"/>
  <c r="G59" s="1"/>
  <c r="H63"/>
  <c r="G63" s="1"/>
  <c r="H62"/>
  <c r="G62" s="1"/>
  <c r="G17"/>
  <c r="H54" i="71"/>
  <c r="G54" s="1"/>
  <c r="H49"/>
  <c r="G49" s="1"/>
  <c r="H53"/>
  <c r="G53" s="1"/>
  <c r="H48"/>
  <c r="G48" s="1"/>
  <c r="H52"/>
  <c r="G52" s="1"/>
  <c r="H47"/>
  <c r="G47" s="1"/>
  <c r="H50"/>
  <c r="G50" s="1"/>
  <c r="H55"/>
  <c r="G55" s="1"/>
  <c r="H51"/>
  <c r="G51" s="1"/>
  <c r="G17"/>
  <c r="C7"/>
  <c r="C3" i="68" s="1"/>
  <c r="AH5" i="59"/>
  <c r="AG5"/>
  <c r="AE5"/>
  <c r="AF5" s="1"/>
  <c r="AD5"/>
  <c r="Q5"/>
  <c r="P5"/>
  <c r="O5"/>
  <c r="N5"/>
  <c r="K52" i="71" l="1"/>
  <c r="J52" s="1"/>
  <c r="M52"/>
  <c r="K55"/>
  <c r="J55" s="1"/>
  <c r="D55" s="1"/>
  <c r="M55"/>
  <c r="N55" s="1"/>
  <c r="M47"/>
  <c r="N47" s="1"/>
  <c r="K47"/>
  <c r="M48"/>
  <c r="N48" s="1"/>
  <c r="K48"/>
  <c r="M49"/>
  <c r="N49" s="1"/>
  <c r="K49"/>
  <c r="K63" i="72"/>
  <c r="J63" s="1"/>
  <c r="M63"/>
  <c r="M58"/>
  <c r="N58" s="1"/>
  <c r="K58"/>
  <c r="K66"/>
  <c r="J66" s="1"/>
  <c r="D66" s="1"/>
  <c r="M66"/>
  <c r="N66" s="1"/>
  <c r="K64"/>
  <c r="M64"/>
  <c r="N64" s="1"/>
  <c r="M51" i="71"/>
  <c r="N51" s="1"/>
  <c r="K51"/>
  <c r="M50"/>
  <c r="N50" s="1"/>
  <c r="K50"/>
  <c r="K53"/>
  <c r="M53"/>
  <c r="N53" s="1"/>
  <c r="K54"/>
  <c r="M54"/>
  <c r="N54" s="1"/>
  <c r="K62" i="72"/>
  <c r="M62"/>
  <c r="N62" s="1"/>
  <c r="M59"/>
  <c r="N59" s="1"/>
  <c r="K59"/>
  <c r="M61"/>
  <c r="N61" s="1"/>
  <c r="K61"/>
  <c r="M60"/>
  <c r="N60" s="1"/>
  <c r="K60"/>
  <c r="K65"/>
  <c r="M65"/>
  <c r="N65" s="1"/>
  <c r="AH6" i="59"/>
  <c r="AG6"/>
  <c r="AE6"/>
  <c r="AF6" s="1"/>
  <c r="AD6"/>
  <c r="Q6"/>
  <c r="P6"/>
  <c r="O6"/>
  <c r="N6"/>
  <c r="J60" i="72" l="1"/>
  <c r="D60"/>
  <c r="J58"/>
  <c r="D58"/>
  <c r="J49" i="71"/>
  <c r="D49"/>
  <c r="J47"/>
  <c r="D47"/>
  <c r="J53"/>
  <c r="D53"/>
  <c r="J64" i="72"/>
  <c r="D64"/>
  <c r="J65"/>
  <c r="D65" s="1"/>
  <c r="J62"/>
  <c r="D62"/>
  <c r="J54" i="71"/>
  <c r="D54" s="1"/>
  <c r="J61" i="72"/>
  <c r="D61"/>
  <c r="J59"/>
  <c r="D59"/>
  <c r="J50" i="71"/>
  <c r="D50"/>
  <c r="J51"/>
  <c r="D51"/>
  <c r="N63" i="72"/>
  <c r="D63"/>
  <c r="J48" i="71"/>
  <c r="D48"/>
  <c r="N52"/>
  <c r="D52"/>
  <c r="AH7" i="59"/>
  <c r="AG7"/>
  <c r="AE7"/>
  <c r="AF7" s="1"/>
  <c r="AD7"/>
  <c r="Q7"/>
  <c r="P7"/>
  <c r="O7"/>
  <c r="N7"/>
  <c r="E47" i="71" l="1"/>
  <c r="B45" s="1"/>
  <c r="C24" s="1"/>
  <c r="I3" i="68" s="1"/>
  <c r="E58" i="72"/>
  <c r="B56" s="1"/>
  <c r="C24" s="1"/>
  <c r="I4" i="68" s="1"/>
  <c r="F25" i="12" l="1"/>
  <c r="C25" s="1"/>
  <c r="C16" i="11" l="1"/>
  <c r="C15"/>
  <c r="C14"/>
  <c r="C9"/>
  <c r="C8"/>
  <c r="K36" i="36" l="1"/>
  <c r="K38" i="35"/>
  <c r="K42" i="37"/>
  <c r="K49" i="34"/>
  <c r="K48" i="33" l="1"/>
  <c r="K48" i="21"/>
  <c r="K44" i="40" l="1"/>
  <c r="K49" i="39"/>
  <c r="E77" i="9"/>
  <c r="F77"/>
  <c r="AH8" i="59" l="1"/>
  <c r="AG8"/>
  <c r="AE8"/>
  <c r="AF8" s="1"/>
  <c r="AD8"/>
  <c r="Q8"/>
  <c r="P8"/>
  <c r="O8"/>
  <c r="N8"/>
  <c r="A21" i="31" l="1"/>
  <c r="C109" i="9" l="1"/>
  <c r="AH9" i="59" l="1"/>
  <c r="AG9"/>
  <c r="AE9"/>
  <c r="AF9" s="1"/>
  <c r="AD9"/>
  <c r="Q9"/>
  <c r="P9"/>
  <c r="O9"/>
  <c r="N9"/>
  <c r="Q11" l="1"/>
  <c r="P11"/>
  <c r="O11"/>
  <c r="N11"/>
  <c r="AH10"/>
  <c r="AG10"/>
  <c r="AE10"/>
  <c r="AF10" s="1"/>
  <c r="AD10"/>
  <c r="Q10"/>
  <c r="P10"/>
  <c r="O10"/>
  <c r="N10"/>
  <c r="AH11"/>
  <c r="AG11"/>
  <c r="AE11"/>
  <c r="AF11" s="1"/>
  <c r="AD11"/>
  <c r="Q12"/>
  <c r="Q13"/>
  <c r="P12"/>
  <c r="P13"/>
  <c r="O12"/>
  <c r="O13"/>
  <c r="N12"/>
  <c r="N13"/>
  <c r="AH12"/>
  <c r="AG12"/>
  <c r="AE12"/>
  <c r="AF12"/>
  <c r="AD12"/>
  <c r="AH13"/>
  <c r="AG13"/>
  <c r="AE13"/>
  <c r="AF13" s="1"/>
  <c r="AD13"/>
  <c r="M15" i="49"/>
  <c r="L15"/>
  <c r="K15"/>
  <c r="J15"/>
  <c r="I15"/>
  <c r="H15"/>
  <c r="G15"/>
  <c r="F15"/>
  <c r="E15"/>
  <c r="D15"/>
  <c r="C15"/>
  <c r="B15"/>
  <c r="AH14" i="59"/>
  <c r="AG14"/>
  <c r="AF14"/>
  <c r="AE14"/>
  <c r="AD14"/>
  <c r="Q14"/>
  <c r="P14"/>
  <c r="O14"/>
  <c r="N14"/>
  <c r="L3"/>
  <c r="AH3" s="1"/>
  <c r="K3"/>
  <c r="AG3" s="1"/>
  <c r="J3"/>
  <c r="AE3" s="1"/>
  <c r="AF3" s="1"/>
  <c r="I3"/>
  <c r="AD3" s="1"/>
  <c r="AH15"/>
  <c r="AG15"/>
  <c r="AE15"/>
  <c r="AF15" s="1"/>
  <c r="AD15"/>
  <c r="Q15"/>
  <c r="Q16"/>
  <c r="P15"/>
  <c r="P16"/>
  <c r="O15"/>
  <c r="O16"/>
  <c r="N15"/>
  <c r="N16"/>
  <c r="AH16"/>
  <c r="AG16"/>
  <c r="AE16"/>
  <c r="AF16"/>
  <c r="AD16"/>
  <c r="Q17"/>
  <c r="P17"/>
  <c r="O17"/>
  <c r="N17"/>
  <c r="J50" i="15"/>
  <c r="J51" s="1"/>
  <c r="D19" i="59"/>
  <c r="AH17"/>
  <c r="AG17"/>
  <c r="AE17"/>
  <c r="AF17"/>
  <c r="AD17"/>
  <c r="AE18"/>
  <c r="AF18"/>
  <c r="AG18"/>
  <c r="AH18"/>
  <c r="AD18"/>
  <c r="Q18"/>
  <c r="P18"/>
  <c r="O18"/>
  <c r="N18"/>
  <c r="N19"/>
  <c r="Q19"/>
  <c r="P19"/>
  <c r="O19"/>
  <c r="K59" i="15"/>
  <c r="P75" s="1"/>
  <c r="P62"/>
  <c r="Q74" i="44"/>
  <c r="Q61"/>
  <c r="Q60"/>
  <c r="Q53"/>
  <c r="J51"/>
  <c r="J52" s="1"/>
  <c r="M48"/>
  <c r="A16" i="55"/>
  <c r="A15"/>
  <c r="B66" i="63" s="1"/>
  <c r="A14" i="55"/>
  <c r="A11"/>
  <c r="A10"/>
  <c r="B61" i="63" s="1"/>
  <c r="A9" i="55"/>
  <c r="B60" i="63" s="1"/>
  <c r="A8" i="55"/>
  <c r="B59" i="63" s="1"/>
  <c r="A6" i="54"/>
  <c r="A8"/>
  <c r="A7"/>
  <c r="B51" i="63" s="1"/>
  <c r="A27" i="51"/>
  <c r="B20" i="63" s="1"/>
  <c r="Q20" i="59"/>
  <c r="O20"/>
  <c r="N21"/>
  <c r="O21"/>
  <c r="P21"/>
  <c r="Q21"/>
  <c r="N20"/>
  <c r="P20"/>
  <c r="K75" i="9"/>
  <c r="K6" i="4"/>
  <c r="L76" i="9" s="1"/>
  <c r="O76"/>
  <c r="K76"/>
  <c r="B22" i="31"/>
  <c r="E15" i="66"/>
  <c r="F15"/>
  <c r="E16"/>
  <c r="F16"/>
  <c r="E17"/>
  <c r="F17"/>
  <c r="E18"/>
  <c r="F18"/>
  <c r="E19"/>
  <c r="F19"/>
  <c r="E20"/>
  <c r="F20"/>
  <c r="E21"/>
  <c r="F21"/>
  <c r="E22"/>
  <c r="F22"/>
  <c r="E23"/>
  <c r="F23"/>
  <c r="B3"/>
  <c r="B18" i="59"/>
  <c r="B17" s="1"/>
  <c r="B16" s="1"/>
  <c r="E18"/>
  <c r="U18" s="1"/>
  <c r="E17"/>
  <c r="E16"/>
  <c r="E15" s="1"/>
  <c r="E14" s="1"/>
  <c r="S18"/>
  <c r="AD19"/>
  <c r="AE19"/>
  <c r="AF19"/>
  <c r="AG19"/>
  <c r="AH19"/>
  <c r="AD20"/>
  <c r="AE20"/>
  <c r="AF20" s="1"/>
  <c r="AG20"/>
  <c r="AH20"/>
  <c r="AD21"/>
  <c r="AE21"/>
  <c r="AF21"/>
  <c r="AG21"/>
  <c r="AH21"/>
  <c r="AD22"/>
  <c r="AE22"/>
  <c r="AF22" s="1"/>
  <c r="AG22"/>
  <c r="AH22"/>
  <c r="AD23"/>
  <c r="AE23"/>
  <c r="AF23" s="1"/>
  <c r="AG23"/>
  <c r="AH23"/>
  <c r="AD24"/>
  <c r="AE24"/>
  <c r="AF24"/>
  <c r="AG24"/>
  <c r="AH24"/>
  <c r="AD25"/>
  <c r="AE25"/>
  <c r="AF25"/>
  <c r="AG25"/>
  <c r="AH25"/>
  <c r="AD26"/>
  <c r="AE26"/>
  <c r="AF26" s="1"/>
  <c r="AG26"/>
  <c r="AH26"/>
  <c r="AD27"/>
  <c r="AE27"/>
  <c r="AF27" s="1"/>
  <c r="AG27"/>
  <c r="AH27"/>
  <c r="AD28"/>
  <c r="AE28"/>
  <c r="AF28"/>
  <c r="AG28"/>
  <c r="AH28"/>
  <c r="AD29"/>
  <c r="AE29"/>
  <c r="AF29" s="1"/>
  <c r="AG29"/>
  <c r="AH29"/>
  <c r="AD30"/>
  <c r="AE30"/>
  <c r="AF30"/>
  <c r="AG30"/>
  <c r="AH30"/>
  <c r="AD31"/>
  <c r="AE31"/>
  <c r="AF31"/>
  <c r="AG31"/>
  <c r="AH31"/>
  <c r="AD32"/>
  <c r="AE32"/>
  <c r="AF32" s="1"/>
  <c r="AG32"/>
  <c r="AH32"/>
  <c r="AH33"/>
  <c r="AG33"/>
  <c r="AE33"/>
  <c r="AF33" s="1"/>
  <c r="AD33"/>
  <c r="AD34"/>
  <c r="AE34"/>
  <c r="AF34" s="1"/>
  <c r="AG34"/>
  <c r="AH34"/>
  <c r="S2" i="31"/>
  <c r="M2"/>
  <c r="N2"/>
  <c r="O2"/>
  <c r="P2"/>
  <c r="Q2"/>
  <c r="R2"/>
  <c r="C18" i="59"/>
  <c r="C17" s="1"/>
  <c r="C3" i="65"/>
  <c r="C1"/>
  <c r="N1" s="1"/>
  <c r="D18" i="59"/>
  <c r="B76" i="63"/>
  <c r="M5" i="54"/>
  <c r="B41" i="63" s="1"/>
  <c r="A23" i="51"/>
  <c r="B17" i="63" s="1"/>
  <c r="Y12" i="46"/>
  <c r="AA9"/>
  <c r="AA12" s="1"/>
  <c r="AB9"/>
  <c r="AB10" s="1"/>
  <c r="AC9"/>
  <c r="AD9"/>
  <c r="AD10"/>
  <c r="AE9"/>
  <c r="AF9"/>
  <c r="AF10"/>
  <c r="AG9"/>
  <c r="AG10" s="1"/>
  <c r="AH9"/>
  <c r="AH10" s="1"/>
  <c r="AI9"/>
  <c r="AI10" s="1"/>
  <c r="AJ9"/>
  <c r="AJ10" s="1"/>
  <c r="Z9"/>
  <c r="Z10" s="1"/>
  <c r="AE10"/>
  <c r="AC10"/>
  <c r="Y10"/>
  <c r="Z12"/>
  <c r="AI12"/>
  <c r="AG12"/>
  <c r="AE12"/>
  <c r="AC12"/>
  <c r="B73" i="63"/>
  <c r="A21" i="64"/>
  <c r="B75" i="63" s="1"/>
  <c r="A28" i="64"/>
  <c r="A27"/>
  <c r="A15"/>
  <c r="A14"/>
  <c r="A11"/>
  <c r="A3"/>
  <c r="A45" i="9"/>
  <c r="K40" s="1"/>
  <c r="A44"/>
  <c r="C57" i="10"/>
  <c r="A28" i="51" s="1"/>
  <c r="B21" i="63" s="1"/>
  <c r="C56" i="10"/>
  <c r="A26" i="51" s="1"/>
  <c r="B19" i="63" s="1"/>
  <c r="C55" i="10"/>
  <c r="C54"/>
  <c r="B49" i="63"/>
  <c r="B44"/>
  <c r="B40"/>
  <c r="B30"/>
  <c r="B27"/>
  <c r="B25"/>
  <c r="A11" i="51"/>
  <c r="B10" i="63" s="1"/>
  <c r="K39" i="9"/>
  <c r="B58" i="63"/>
  <c r="B53"/>
  <c r="A46" i="9"/>
  <c r="K41" s="1"/>
  <c r="B8" i="63"/>
  <c r="A21" i="55"/>
  <c r="B71" i="63" s="1"/>
  <c r="A20" i="55"/>
  <c r="B69" i="63" s="1"/>
  <c r="B26"/>
  <c r="B28"/>
  <c r="B29"/>
  <c r="B31"/>
  <c r="B33"/>
  <c r="B35"/>
  <c r="B36"/>
  <c r="B37"/>
  <c r="B63"/>
  <c r="B64"/>
  <c r="B68"/>
  <c r="D51" i="10"/>
  <c r="B51"/>
  <c r="A15" i="51"/>
  <c r="B12" i="63" s="1"/>
  <c r="A14" i="51"/>
  <c r="B11" i="63"/>
  <c r="A4" i="55"/>
  <c r="B57" i="63" s="1"/>
  <c r="G5" i="54"/>
  <c r="B34" i="63" s="1"/>
  <c r="E5" i="54"/>
  <c r="B32" i="63" s="1"/>
  <c r="R2" i="54"/>
  <c r="B24" i="63" s="1"/>
  <c r="B49" i="50"/>
  <c r="B5" i="63"/>
  <c r="B40" i="50"/>
  <c r="B3" i="63" s="1"/>
  <c r="B67"/>
  <c r="I19" i="46"/>
  <c r="Q22" i="59"/>
  <c r="F22" s="1"/>
  <c r="P22"/>
  <c r="O22"/>
  <c r="N22"/>
  <c r="D83"/>
  <c r="F82"/>
  <c r="F81" s="1"/>
  <c r="F80" s="1"/>
  <c r="E82"/>
  <c r="E81"/>
  <c r="E80"/>
  <c r="C82"/>
  <c r="D82" s="1"/>
  <c r="B82"/>
  <c r="B81"/>
  <c r="B80"/>
  <c r="D79"/>
  <c r="F78"/>
  <c r="F77" s="1"/>
  <c r="F76" s="1"/>
  <c r="E78"/>
  <c r="E77"/>
  <c r="E76"/>
  <c r="C78"/>
  <c r="D78" s="1"/>
  <c r="B78"/>
  <c r="B77"/>
  <c r="B76"/>
  <c r="D75"/>
  <c r="Q74"/>
  <c r="P74"/>
  <c r="O74"/>
  <c r="N74"/>
  <c r="F74"/>
  <c r="V74" s="1"/>
  <c r="E74"/>
  <c r="U74"/>
  <c r="C74"/>
  <c r="T74"/>
  <c r="B74"/>
  <c r="B73" s="1"/>
  <c r="B72" s="1"/>
  <c r="S74"/>
  <c r="Q73"/>
  <c r="P73"/>
  <c r="O73"/>
  <c r="N73"/>
  <c r="F73"/>
  <c r="F72" s="1"/>
  <c r="Q72"/>
  <c r="P72"/>
  <c r="O72"/>
  <c r="N72"/>
  <c r="Q71"/>
  <c r="P71"/>
  <c r="O71"/>
  <c r="N71"/>
  <c r="D71"/>
  <c r="Q70"/>
  <c r="P70"/>
  <c r="O70"/>
  <c r="N70"/>
  <c r="F70"/>
  <c r="V70"/>
  <c r="E70"/>
  <c r="U70"/>
  <c r="C70"/>
  <c r="T70"/>
  <c r="B70"/>
  <c r="Q69"/>
  <c r="P69"/>
  <c r="O69"/>
  <c r="N69"/>
  <c r="F69"/>
  <c r="F68"/>
  <c r="Q68"/>
  <c r="P68"/>
  <c r="O68"/>
  <c r="N68"/>
  <c r="Q67"/>
  <c r="P67"/>
  <c r="O67"/>
  <c r="N67"/>
  <c r="D67"/>
  <c r="Q66"/>
  <c r="P66"/>
  <c r="O66"/>
  <c r="N66"/>
  <c r="F66"/>
  <c r="V66"/>
  <c r="E66"/>
  <c r="U66" s="1"/>
  <c r="C66"/>
  <c r="T66"/>
  <c r="B66"/>
  <c r="S66"/>
  <c r="Q65"/>
  <c r="P65"/>
  <c r="O65"/>
  <c r="N65"/>
  <c r="F65"/>
  <c r="F64"/>
  <c r="B65"/>
  <c r="B64" s="1"/>
  <c r="Q64"/>
  <c r="P64"/>
  <c r="O64"/>
  <c r="N64"/>
  <c r="Q63"/>
  <c r="P63"/>
  <c r="O63"/>
  <c r="N63"/>
  <c r="D63"/>
  <c r="F62"/>
  <c r="E62"/>
  <c r="E61" s="1"/>
  <c r="C62"/>
  <c r="B62"/>
  <c r="N62"/>
  <c r="B61"/>
  <c r="N61" s="1"/>
  <c r="D59"/>
  <c r="Q58"/>
  <c r="P58"/>
  <c r="O58"/>
  <c r="N58"/>
  <c r="Q57"/>
  <c r="P57"/>
  <c r="O57"/>
  <c r="N57"/>
  <c r="Q56"/>
  <c r="P56"/>
  <c r="O56"/>
  <c r="N56"/>
  <c r="Q55"/>
  <c r="F56" s="1"/>
  <c r="F57" s="1"/>
  <c r="P55"/>
  <c r="E56" s="1"/>
  <c r="E57" s="1"/>
  <c r="E58" s="1"/>
  <c r="U58" s="1"/>
  <c r="O55"/>
  <c r="C56" s="1"/>
  <c r="N55"/>
  <c r="B56"/>
  <c r="B57" s="1"/>
  <c r="B58" s="1"/>
  <c r="S58" s="1"/>
  <c r="D55"/>
  <c r="Q54"/>
  <c r="P54"/>
  <c r="O54"/>
  <c r="N54"/>
  <c r="Q53"/>
  <c r="P53"/>
  <c r="O53"/>
  <c r="N53"/>
  <c r="Q52"/>
  <c r="P52"/>
  <c r="O52"/>
  <c r="N52"/>
  <c r="Q51"/>
  <c r="F52"/>
  <c r="P51"/>
  <c r="E52"/>
  <c r="E53"/>
  <c r="E54" s="1"/>
  <c r="U54" s="1"/>
  <c r="O51"/>
  <c r="C52" s="1"/>
  <c r="N51"/>
  <c r="B52" s="1"/>
  <c r="B53" s="1"/>
  <c r="D51"/>
  <c r="Q50"/>
  <c r="P50"/>
  <c r="O50"/>
  <c r="N50"/>
  <c r="Q49"/>
  <c r="P49"/>
  <c r="O49"/>
  <c r="N49"/>
  <c r="Q48"/>
  <c r="P48"/>
  <c r="O48"/>
  <c r="N48"/>
  <c r="Q47"/>
  <c r="F48"/>
  <c r="F49" s="1"/>
  <c r="P47"/>
  <c r="E48"/>
  <c r="E49"/>
  <c r="E50" s="1"/>
  <c r="U50" s="1"/>
  <c r="O47"/>
  <c r="C48"/>
  <c r="N47"/>
  <c r="B48"/>
  <c r="B49" s="1"/>
  <c r="B50" s="1"/>
  <c r="S50" s="1"/>
  <c r="D47"/>
  <c r="Q46"/>
  <c r="P46"/>
  <c r="O46"/>
  <c r="N46"/>
  <c r="Q45"/>
  <c r="P45"/>
  <c r="O45"/>
  <c r="N45"/>
  <c r="Q44"/>
  <c r="P44"/>
  <c r="O44"/>
  <c r="N44"/>
  <c r="Q43"/>
  <c r="F44"/>
  <c r="F45" s="1"/>
  <c r="F46" s="1"/>
  <c r="V46" s="1"/>
  <c r="P43"/>
  <c r="E44" s="1"/>
  <c r="E45" s="1"/>
  <c r="E46" s="1"/>
  <c r="U46" s="1"/>
  <c r="O43"/>
  <c r="C44" s="1"/>
  <c r="C45" s="1"/>
  <c r="N43"/>
  <c r="B44"/>
  <c r="B45" s="1"/>
  <c r="B46" s="1"/>
  <c r="S46" s="1"/>
  <c r="D43"/>
  <c r="T42"/>
  <c r="Q42"/>
  <c r="P42"/>
  <c r="O42"/>
  <c r="N42"/>
  <c r="D42"/>
  <c r="Q41"/>
  <c r="P41"/>
  <c r="O41"/>
  <c r="N41"/>
  <c r="Q40"/>
  <c r="P40"/>
  <c r="O40"/>
  <c r="N40"/>
  <c r="Q39"/>
  <c r="F40" s="1"/>
  <c r="F41" s="1"/>
  <c r="F42" s="1"/>
  <c r="V42" s="1"/>
  <c r="P39"/>
  <c r="E40"/>
  <c r="E41" s="1"/>
  <c r="E42" s="1"/>
  <c r="U42" s="1"/>
  <c r="O39"/>
  <c r="C40"/>
  <c r="C41" s="1"/>
  <c r="D41" s="1"/>
  <c r="N39"/>
  <c r="B40"/>
  <c r="B41"/>
  <c r="B42" s="1"/>
  <c r="S42" s="1"/>
  <c r="D39"/>
  <c r="Q38"/>
  <c r="P38"/>
  <c r="O38"/>
  <c r="N38"/>
  <c r="Q37"/>
  <c r="P37"/>
  <c r="O37"/>
  <c r="N37"/>
  <c r="Q36"/>
  <c r="P36"/>
  <c r="O36"/>
  <c r="N36"/>
  <c r="Q35"/>
  <c r="F36" s="1"/>
  <c r="F37" s="1"/>
  <c r="F38" s="1"/>
  <c r="V38" s="1"/>
  <c r="P35"/>
  <c r="E36" s="1"/>
  <c r="E37" s="1"/>
  <c r="E38" s="1"/>
  <c r="U38" s="1"/>
  <c r="O35"/>
  <c r="C36"/>
  <c r="N35"/>
  <c r="B36" s="1"/>
  <c r="B37" s="1"/>
  <c r="B38" s="1"/>
  <c r="S38" s="1"/>
  <c r="D35"/>
  <c r="Q34"/>
  <c r="P34"/>
  <c r="O34"/>
  <c r="N34"/>
  <c r="Q33"/>
  <c r="AB33" s="1"/>
  <c r="P33"/>
  <c r="AA33" s="1"/>
  <c r="O33"/>
  <c r="N33"/>
  <c r="X33" s="1"/>
  <c r="Q32"/>
  <c r="P32"/>
  <c r="O32"/>
  <c r="N32"/>
  <c r="X32" s="1"/>
  <c r="Q31"/>
  <c r="F32"/>
  <c r="P31"/>
  <c r="E32" s="1"/>
  <c r="E33" s="1"/>
  <c r="O31"/>
  <c r="C32" s="1"/>
  <c r="N31"/>
  <c r="B32" s="1"/>
  <c r="B33" s="1"/>
  <c r="B34" s="1"/>
  <c r="S34" s="1"/>
  <c r="D31"/>
  <c r="Q30"/>
  <c r="P30"/>
  <c r="O30"/>
  <c r="Y30" s="1"/>
  <c r="Z30" s="1"/>
  <c r="N30"/>
  <c r="X30" s="1"/>
  <c r="Q29"/>
  <c r="P29"/>
  <c r="O29"/>
  <c r="N29"/>
  <c r="Q28"/>
  <c r="P28"/>
  <c r="O28"/>
  <c r="N28"/>
  <c r="X28" s="1"/>
  <c r="Q27"/>
  <c r="F28"/>
  <c r="F29" s="1"/>
  <c r="F30" s="1"/>
  <c r="V30" s="1"/>
  <c r="P27"/>
  <c r="O27"/>
  <c r="C28"/>
  <c r="N27"/>
  <c r="B28"/>
  <c r="B29"/>
  <c r="B30" s="1"/>
  <c r="S30" s="1"/>
  <c r="D27"/>
  <c r="Q26"/>
  <c r="P26"/>
  <c r="O26"/>
  <c r="N26"/>
  <c r="Q25"/>
  <c r="P25"/>
  <c r="O25"/>
  <c r="N25"/>
  <c r="Q24"/>
  <c r="P24"/>
  <c r="O24"/>
  <c r="N24"/>
  <c r="X24" s="1"/>
  <c r="Q23"/>
  <c r="F24" s="1"/>
  <c r="F25" s="1"/>
  <c r="F26" s="1"/>
  <c r="V26" s="1"/>
  <c r="P23"/>
  <c r="O23"/>
  <c r="C24" s="1"/>
  <c r="N23"/>
  <c r="B24" s="1"/>
  <c r="B25" s="1"/>
  <c r="B26" s="1"/>
  <c r="S26" s="1"/>
  <c r="D23"/>
  <c r="E24"/>
  <c r="E25"/>
  <c r="E26" s="1"/>
  <c r="U26" s="1"/>
  <c r="S62"/>
  <c r="F33"/>
  <c r="F53"/>
  <c r="F54"/>
  <c r="V54" s="1"/>
  <c r="F58"/>
  <c r="V58" s="1"/>
  <c r="D44"/>
  <c r="C49"/>
  <c r="D48"/>
  <c r="D28"/>
  <c r="B60"/>
  <c r="N60" s="1"/>
  <c r="T62"/>
  <c r="O62"/>
  <c r="D62"/>
  <c r="C61"/>
  <c r="D61" s="1"/>
  <c r="P62"/>
  <c r="U62"/>
  <c r="C65"/>
  <c r="E65"/>
  <c r="E64" s="1"/>
  <c r="D66"/>
  <c r="C69"/>
  <c r="E69"/>
  <c r="E68" s="1"/>
  <c r="D70"/>
  <c r="C73"/>
  <c r="E73"/>
  <c r="E72"/>
  <c r="D74"/>
  <c r="C77"/>
  <c r="D77" s="1"/>
  <c r="C81"/>
  <c r="D81" s="1"/>
  <c r="U16" i="4"/>
  <c r="S16"/>
  <c r="Q16"/>
  <c r="O16"/>
  <c r="M16"/>
  <c r="K16"/>
  <c r="D73" i="59"/>
  <c r="C72"/>
  <c r="D72"/>
  <c r="D65"/>
  <c r="C64"/>
  <c r="D64" s="1"/>
  <c r="C60"/>
  <c r="O61"/>
  <c r="N59"/>
  <c r="C50"/>
  <c r="T50" s="1"/>
  <c r="D49"/>
  <c r="O60"/>
  <c r="D60"/>
  <c r="O59"/>
  <c r="O27" i="6"/>
  <c r="N27"/>
  <c r="P26"/>
  <c r="L26"/>
  <c r="P25"/>
  <c r="L25"/>
  <c r="P24"/>
  <c r="L24"/>
  <c r="P23"/>
  <c r="L23"/>
  <c r="P22"/>
  <c r="L22"/>
  <c r="P21"/>
  <c r="L21"/>
  <c r="P20"/>
  <c r="P19"/>
  <c r="Q18" i="36"/>
  <c r="Z18" s="1"/>
  <c r="C18"/>
  <c r="D66"/>
  <c r="F18"/>
  <c r="S18" s="1"/>
  <c r="AA18"/>
  <c r="Z18" i="35"/>
  <c r="Q18"/>
  <c r="F18"/>
  <c r="AA18" s="1"/>
  <c r="C18"/>
  <c r="D68"/>
  <c r="E68"/>
  <c r="F68"/>
  <c r="G68"/>
  <c r="Q21" i="37"/>
  <c r="Z21" s="1"/>
  <c r="F21"/>
  <c r="C21"/>
  <c r="E77"/>
  <c r="F77" s="1"/>
  <c r="G77" s="1"/>
  <c r="D77"/>
  <c r="Q21" i="34"/>
  <c r="Z21" s="1"/>
  <c r="C21"/>
  <c r="D84"/>
  <c r="F21"/>
  <c r="AA21" s="1"/>
  <c r="Z21" i="33"/>
  <c r="Q21"/>
  <c r="C21"/>
  <c r="D83"/>
  <c r="E83" s="1"/>
  <c r="F83" s="1"/>
  <c r="G83" s="1"/>
  <c r="Q21" i="21"/>
  <c r="Z21" s="1"/>
  <c r="D83"/>
  <c r="E83" s="1"/>
  <c r="F83" s="1"/>
  <c r="G83" s="1"/>
  <c r="F21"/>
  <c r="S21" s="1"/>
  <c r="AA21"/>
  <c r="C21"/>
  <c r="Q27" i="40"/>
  <c r="Z27" s="1"/>
  <c r="D96"/>
  <c r="E96" s="1"/>
  <c r="F96" s="1"/>
  <c r="F27"/>
  <c r="AA27" s="1"/>
  <c r="Q31" i="39"/>
  <c r="Z31" s="1"/>
  <c r="D105"/>
  <c r="E105"/>
  <c r="F105" s="1"/>
  <c r="F31"/>
  <c r="G20" i="20"/>
  <c r="B85" i="46"/>
  <c r="C22" i="20"/>
  <c r="B65" i="46" s="1"/>
  <c r="C27" i="40"/>
  <c r="C31" i="39"/>
  <c r="B54" i="46"/>
  <c r="B74"/>
  <c r="E66" i="36"/>
  <c r="H18" i="35"/>
  <c r="J18"/>
  <c r="H21" i="37"/>
  <c r="J21"/>
  <c r="E84" i="34"/>
  <c r="F84" s="1"/>
  <c r="G84" s="1"/>
  <c r="J21"/>
  <c r="H21"/>
  <c r="F21" i="33"/>
  <c r="H21"/>
  <c r="J21"/>
  <c r="H21" i="21"/>
  <c r="J21"/>
  <c r="H27" i="40"/>
  <c r="H31" i="39"/>
  <c r="F23" i="15"/>
  <c r="D22" s="1"/>
  <c r="G17" i="11"/>
  <c r="F15" i="15"/>
  <c r="F17"/>
  <c r="F18"/>
  <c r="F20"/>
  <c r="F21"/>
  <c r="F33"/>
  <c r="F60" s="1"/>
  <c r="K2" i="4"/>
  <c r="K1"/>
  <c r="B1"/>
  <c r="B37" i="50" s="1"/>
  <c r="B2" i="63" s="1"/>
  <c r="C31" i="57"/>
  <c r="C32"/>
  <c r="I23"/>
  <c r="D20"/>
  <c r="I19"/>
  <c r="I18"/>
  <c r="I17"/>
  <c r="I20" s="1"/>
  <c r="E15"/>
  <c r="I14"/>
  <c r="I13"/>
  <c r="I12"/>
  <c r="I15"/>
  <c r="I9"/>
  <c r="I8"/>
  <c r="I7"/>
  <c r="I6"/>
  <c r="I5"/>
  <c r="I4"/>
  <c r="I10" s="1"/>
  <c r="I3"/>
  <c r="C30"/>
  <c r="E26" s="1"/>
  <c r="C112" i="9"/>
  <c r="C7" i="11"/>
  <c r="F80" i="46"/>
  <c r="H81" s="1"/>
  <c r="D1"/>
  <c r="F113"/>
  <c r="D99"/>
  <c r="D108" s="1"/>
  <c r="E99"/>
  <c r="E108" s="1"/>
  <c r="F99"/>
  <c r="F100" s="1"/>
  <c r="G99"/>
  <c r="G108"/>
  <c r="H99"/>
  <c r="H108" s="1"/>
  <c r="I99"/>
  <c r="I108" s="1"/>
  <c r="J99"/>
  <c r="J108"/>
  <c r="K99"/>
  <c r="K108"/>
  <c r="L99"/>
  <c r="L108" s="1"/>
  <c r="M99"/>
  <c r="M108"/>
  <c r="N99"/>
  <c r="N108" s="1"/>
  <c r="C99"/>
  <c r="C108" s="1"/>
  <c r="K58"/>
  <c r="J58" s="1"/>
  <c r="D58"/>
  <c r="K50"/>
  <c r="J50" s="1"/>
  <c r="D83"/>
  <c r="D77"/>
  <c r="B83"/>
  <c r="B82"/>
  <c r="B71"/>
  <c r="B60"/>
  <c r="B49"/>
  <c r="M87"/>
  <c r="N87"/>
  <c r="K87"/>
  <c r="J87" s="1"/>
  <c r="D87"/>
  <c r="M86"/>
  <c r="N86" s="1"/>
  <c r="D86"/>
  <c r="K86"/>
  <c r="J86" s="1"/>
  <c r="M85"/>
  <c r="N85"/>
  <c r="D85"/>
  <c r="K85"/>
  <c r="J85"/>
  <c r="M84"/>
  <c r="N84"/>
  <c r="K84"/>
  <c r="J84" s="1"/>
  <c r="M83"/>
  <c r="N83"/>
  <c r="K83"/>
  <c r="J83" s="1"/>
  <c r="M82"/>
  <c r="N82"/>
  <c r="K82"/>
  <c r="J82"/>
  <c r="D82"/>
  <c r="M81"/>
  <c r="N81" s="1"/>
  <c r="K81"/>
  <c r="J81"/>
  <c r="M80"/>
  <c r="N80" s="1"/>
  <c r="K80"/>
  <c r="J80"/>
  <c r="D76"/>
  <c r="D74"/>
  <c r="D73"/>
  <c r="D72"/>
  <c r="D70"/>
  <c r="M66"/>
  <c r="N66" s="1"/>
  <c r="K66"/>
  <c r="J66" s="1"/>
  <c r="M65"/>
  <c r="N65" s="1"/>
  <c r="K65"/>
  <c r="J65" s="1"/>
  <c r="D65"/>
  <c r="M64"/>
  <c r="N64"/>
  <c r="K64"/>
  <c r="J64"/>
  <c r="D64"/>
  <c r="M63"/>
  <c r="N63" s="1"/>
  <c r="K63"/>
  <c r="J63" s="1"/>
  <c r="D63"/>
  <c r="M62"/>
  <c r="N62"/>
  <c r="K62"/>
  <c r="J62"/>
  <c r="D62"/>
  <c r="M61"/>
  <c r="N61" s="1"/>
  <c r="K61"/>
  <c r="J61" s="1"/>
  <c r="D61"/>
  <c r="M60"/>
  <c r="N60"/>
  <c r="K60"/>
  <c r="J60" s="1"/>
  <c r="D60"/>
  <c r="M59"/>
  <c r="N59" s="1"/>
  <c r="K59"/>
  <c r="J59" s="1"/>
  <c r="D59"/>
  <c r="M58"/>
  <c r="N58"/>
  <c r="M55"/>
  <c r="N55"/>
  <c r="K55"/>
  <c r="J55"/>
  <c r="M54"/>
  <c r="N54" s="1"/>
  <c r="K54"/>
  <c r="J54" s="1"/>
  <c r="M53"/>
  <c r="N53" s="1"/>
  <c r="K53"/>
  <c r="J53" s="1"/>
  <c r="D53"/>
  <c r="M52"/>
  <c r="N52"/>
  <c r="K52"/>
  <c r="J52"/>
  <c r="D52"/>
  <c r="M51"/>
  <c r="N51" s="1"/>
  <c r="K51"/>
  <c r="J51" s="1"/>
  <c r="M50"/>
  <c r="N50" s="1"/>
  <c r="M49"/>
  <c r="N49" s="1"/>
  <c r="K49"/>
  <c r="J49" s="1"/>
  <c r="D49"/>
  <c r="M48"/>
  <c r="N48"/>
  <c r="K48"/>
  <c r="J48" s="1"/>
  <c r="D48"/>
  <c r="M47"/>
  <c r="N47" s="1"/>
  <c r="K47"/>
  <c r="J47" s="1"/>
  <c r="D47"/>
  <c r="D51"/>
  <c r="D55"/>
  <c r="D80"/>
  <c r="D81"/>
  <c r="D75"/>
  <c r="D66"/>
  <c r="D50"/>
  <c r="D54"/>
  <c r="Q73" i="15"/>
  <c r="Q60"/>
  <c r="Q59"/>
  <c r="Q52"/>
  <c r="AE9" i="1"/>
  <c r="AE10"/>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c r="F8"/>
  <c r="G8" s="1"/>
  <c r="H8" s="1"/>
  <c r="I8" s="1"/>
  <c r="J8" s="1"/>
  <c r="K8" s="1"/>
  <c r="L8" s="1"/>
  <c r="M8" s="1"/>
  <c r="N8" s="1"/>
  <c r="O8" s="1"/>
  <c r="P8" s="1"/>
  <c r="Q8" s="1"/>
  <c r="R8" s="1"/>
  <c r="S8" s="1"/>
  <c r="D6"/>
  <c r="E6" s="1"/>
  <c r="F6" s="1"/>
  <c r="G6" s="1"/>
  <c r="H6" s="1"/>
  <c r="I6" s="1"/>
  <c r="J6" s="1"/>
  <c r="K6" s="1"/>
  <c r="L6" s="1"/>
  <c r="M6"/>
  <c r="N6" s="1"/>
  <c r="O6" s="1"/>
  <c r="P6" s="1"/>
  <c r="Q6" s="1"/>
  <c r="R6" s="1"/>
  <c r="S6" s="1"/>
  <c r="F11" i="1"/>
  <c r="G11" s="1"/>
  <c r="F12"/>
  <c r="AP12" s="1"/>
  <c r="F13"/>
  <c r="AP13" s="1"/>
  <c r="D11"/>
  <c r="D12"/>
  <c r="D13"/>
  <c r="D6"/>
  <c r="D7"/>
  <c r="D8"/>
  <c r="D9"/>
  <c r="F10"/>
  <c r="AP10" s="1"/>
  <c r="D10"/>
  <c r="B2"/>
  <c r="C9" i="39" s="1"/>
  <c r="C70" s="1"/>
  <c r="A12" i="1"/>
  <c r="R12"/>
  <c r="A13"/>
  <c r="B13" s="1"/>
  <c r="E13"/>
  <c r="A7"/>
  <c r="A8"/>
  <c r="A9"/>
  <c r="A10"/>
  <c r="B10" s="1"/>
  <c r="E10" s="1"/>
  <c r="A11"/>
  <c r="A6"/>
  <c r="T4"/>
  <c r="K12"/>
  <c r="M12" s="1"/>
  <c r="O12" s="1"/>
  <c r="K13"/>
  <c r="M13" s="1"/>
  <c r="O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s="1"/>
  <c r="BT111"/>
  <c r="BS111"/>
  <c r="BR111"/>
  <c r="BQ111"/>
  <c r="BP111"/>
  <c r="BO111"/>
  <c r="BN111"/>
  <c r="BM111"/>
  <c r="BK111"/>
  <c r="BJ111"/>
  <c r="BI111"/>
  <c r="BH111"/>
  <c r="BG111"/>
  <c r="BF111"/>
  <c r="BE111"/>
  <c r="BD111"/>
  <c r="BC111"/>
  <c r="BB111"/>
  <c r="AX111"/>
  <c r="AW111"/>
  <c r="AV111"/>
  <c r="AC111"/>
  <c r="G111" s="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K109"/>
  <c r="BJ109"/>
  <c r="BI109"/>
  <c r="BH109"/>
  <c r="BG109"/>
  <c r="BA109" s="1"/>
  <c r="BF109"/>
  <c r="BE109"/>
  <c r="BD109"/>
  <c r="BC109"/>
  <c r="BB109"/>
  <c r="AX109"/>
  <c r="AW109"/>
  <c r="AV109"/>
  <c r="AC109"/>
  <c r="H109"/>
  <c r="BT108"/>
  <c r="BS108"/>
  <c r="BR108"/>
  <c r="BQ108"/>
  <c r="BP108"/>
  <c r="BO108"/>
  <c r="BN108"/>
  <c r="BM108"/>
  <c r="BK108"/>
  <c r="BJ108"/>
  <c r="BI108"/>
  <c r="BH108"/>
  <c r="BG108"/>
  <c r="BF108"/>
  <c r="BE108"/>
  <c r="BD108"/>
  <c r="BC108"/>
  <c r="BB108"/>
  <c r="BA108" s="1"/>
  <c r="AX108"/>
  <c r="AW108"/>
  <c r="AV108"/>
  <c r="AC108"/>
  <c r="H108"/>
  <c r="G108"/>
  <c r="BT107"/>
  <c r="BS107"/>
  <c r="BR107"/>
  <c r="BQ107"/>
  <c r="BP107"/>
  <c r="BO107"/>
  <c r="BN107"/>
  <c r="BM107"/>
  <c r="BK107"/>
  <c r="BJ107"/>
  <c r="BI107"/>
  <c r="BH107"/>
  <c r="BG107"/>
  <c r="BF107"/>
  <c r="BE107"/>
  <c r="BD107"/>
  <c r="BC107"/>
  <c r="BB107"/>
  <c r="BA107" s="1"/>
  <c r="AX107"/>
  <c r="AW107"/>
  <c r="AV107"/>
  <c r="AC107"/>
  <c r="H107"/>
  <c r="G107"/>
  <c r="BT106"/>
  <c r="BS106"/>
  <c r="BR106"/>
  <c r="BQ106"/>
  <c r="BP106"/>
  <c r="BO106"/>
  <c r="BN106"/>
  <c r="BM106"/>
  <c r="BK106"/>
  <c r="BJ106"/>
  <c r="BI106"/>
  <c r="BH106"/>
  <c r="BG106"/>
  <c r="BF106"/>
  <c r="BE106"/>
  <c r="BD106"/>
  <c r="BC106"/>
  <c r="BB106"/>
  <c r="AX106"/>
  <c r="AW106"/>
  <c r="AV106"/>
  <c r="AC106"/>
  <c r="G106" s="1"/>
  <c r="H106"/>
  <c r="BT105"/>
  <c r="BS105"/>
  <c r="BR105"/>
  <c r="BQ105"/>
  <c r="BP105"/>
  <c r="BO105"/>
  <c r="BN105"/>
  <c r="BM105"/>
  <c r="BK105"/>
  <c r="BJ105"/>
  <c r="BI105"/>
  <c r="BH105"/>
  <c r="BG105"/>
  <c r="BF105"/>
  <c r="BE105"/>
  <c r="BD105"/>
  <c r="BC105"/>
  <c r="BB105"/>
  <c r="AX105"/>
  <c r="AW105"/>
  <c r="AV105"/>
  <c r="AC105"/>
  <c r="H105"/>
  <c r="G105"/>
  <c r="BT104"/>
  <c r="BL104" s="1"/>
  <c r="BS104"/>
  <c r="BR104"/>
  <c r="BQ104"/>
  <c r="BP104"/>
  <c r="BO104"/>
  <c r="BN104"/>
  <c r="BM104"/>
  <c r="BK104"/>
  <c r="BJ104"/>
  <c r="BI104"/>
  <c r="BH104"/>
  <c r="BG104"/>
  <c r="BF104"/>
  <c r="BE104"/>
  <c r="BD104"/>
  <c r="BC104"/>
  <c r="BB104"/>
  <c r="AX104"/>
  <c r="AW104"/>
  <c r="AV104"/>
  <c r="AC104"/>
  <c r="G104" s="1"/>
  <c r="H104"/>
  <c r="BT103"/>
  <c r="BS103"/>
  <c r="BR103"/>
  <c r="BQ103"/>
  <c r="BL103" s="1"/>
  <c r="BP103"/>
  <c r="BO103"/>
  <c r="BN103"/>
  <c r="BM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K100"/>
  <c r="BJ100"/>
  <c r="BI100"/>
  <c r="BH100"/>
  <c r="BG100"/>
  <c r="BA100" s="1"/>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c r="BT98"/>
  <c r="BS98"/>
  <c r="BR98"/>
  <c r="BQ98"/>
  <c r="BP98"/>
  <c r="BL98" s="1"/>
  <c r="BO98"/>
  <c r="BN98"/>
  <c r="BM98"/>
  <c r="BK98"/>
  <c r="BJ98"/>
  <c r="BI98"/>
  <c r="BH98"/>
  <c r="BG98"/>
  <c r="BF98"/>
  <c r="BE98"/>
  <c r="BD98"/>
  <c r="BA98" s="1"/>
  <c r="BC98"/>
  <c r="BB98"/>
  <c r="AX98"/>
  <c r="AW98"/>
  <c r="AV98"/>
  <c r="AC98"/>
  <c r="H98"/>
  <c r="G98" s="1"/>
  <c r="BT97"/>
  <c r="BS97"/>
  <c r="BR97"/>
  <c r="BQ97"/>
  <c r="BP97"/>
  <c r="BO97"/>
  <c r="BN97"/>
  <c r="BM97"/>
  <c r="BK97"/>
  <c r="BJ97"/>
  <c r="BI97"/>
  <c r="BH97"/>
  <c r="BG97"/>
  <c r="BF97"/>
  <c r="BE97"/>
  <c r="BD97"/>
  <c r="BC97"/>
  <c r="BB97"/>
  <c r="AX97"/>
  <c r="AW97"/>
  <c r="AV97"/>
  <c r="AC97"/>
  <c r="H97"/>
  <c r="G97"/>
  <c r="BT96"/>
  <c r="BS96"/>
  <c r="BR96"/>
  <c r="BQ96"/>
  <c r="BP96"/>
  <c r="BO96"/>
  <c r="BN96"/>
  <c r="BM96"/>
  <c r="BK96"/>
  <c r="BJ96"/>
  <c r="BI96"/>
  <c r="BH96"/>
  <c r="BG96"/>
  <c r="BF96"/>
  <c r="BE96"/>
  <c r="BA96" s="1"/>
  <c r="BD96"/>
  <c r="BC96"/>
  <c r="BB96"/>
  <c r="AX96"/>
  <c r="AW96"/>
  <c r="AV96"/>
  <c r="AC96"/>
  <c r="H96"/>
  <c r="G96"/>
  <c r="BT95"/>
  <c r="BS95"/>
  <c r="BR95"/>
  <c r="BQ95"/>
  <c r="BP95"/>
  <c r="BO95"/>
  <c r="BN95"/>
  <c r="BL95" s="1"/>
  <c r="BM95"/>
  <c r="BK95"/>
  <c r="BJ95"/>
  <c r="BI95"/>
  <c r="BH95"/>
  <c r="BG95"/>
  <c r="BF95"/>
  <c r="BE95"/>
  <c r="BD95"/>
  <c r="BC95"/>
  <c r="BB95"/>
  <c r="AX95"/>
  <c r="AW95"/>
  <c r="AV95"/>
  <c r="AC95"/>
  <c r="G95" s="1"/>
  <c r="H95"/>
  <c r="BT94"/>
  <c r="BS94"/>
  <c r="BR94"/>
  <c r="BQ94"/>
  <c r="BP94"/>
  <c r="BO94"/>
  <c r="BL94" s="1"/>
  <c r="BN94"/>
  <c r="BM94"/>
  <c r="BK94"/>
  <c r="BJ94"/>
  <c r="BI94"/>
  <c r="BH94"/>
  <c r="BG94"/>
  <c r="BF94"/>
  <c r="BE94"/>
  <c r="BD94"/>
  <c r="BC94"/>
  <c r="BB94"/>
  <c r="AX94"/>
  <c r="AW94"/>
  <c r="AV94"/>
  <c r="AC94"/>
  <c r="H94"/>
  <c r="G94"/>
  <c r="BT93"/>
  <c r="BS93"/>
  <c r="BR93"/>
  <c r="BQ93"/>
  <c r="BP93"/>
  <c r="BO93"/>
  <c r="BN93"/>
  <c r="BM93"/>
  <c r="BK93"/>
  <c r="BJ93"/>
  <c r="BI93"/>
  <c r="BH93"/>
  <c r="BG93"/>
  <c r="BF93"/>
  <c r="BE93"/>
  <c r="BD93"/>
  <c r="BC93"/>
  <c r="BB93"/>
  <c r="BA93" s="1"/>
  <c r="AX93"/>
  <c r="AW93"/>
  <c r="AV93"/>
  <c r="AC93"/>
  <c r="H93"/>
  <c r="G93" s="1"/>
  <c r="BT92"/>
  <c r="BS92"/>
  <c r="BR92"/>
  <c r="BQ92"/>
  <c r="BP92"/>
  <c r="BO92"/>
  <c r="BN92"/>
  <c r="BM92"/>
  <c r="BK92"/>
  <c r="BJ92"/>
  <c r="BI92"/>
  <c r="BH92"/>
  <c r="BG92"/>
  <c r="BF92"/>
  <c r="BE92"/>
  <c r="BD92"/>
  <c r="BC92"/>
  <c r="BB92"/>
  <c r="AX92"/>
  <c r="AW92"/>
  <c r="AV92"/>
  <c r="AC92"/>
  <c r="H92"/>
  <c r="G92" s="1"/>
  <c r="BT91"/>
  <c r="BS91"/>
  <c r="BR91"/>
  <c r="BQ91"/>
  <c r="BP91"/>
  <c r="BO91"/>
  <c r="BN91"/>
  <c r="BM91"/>
  <c r="BK91"/>
  <c r="BJ91"/>
  <c r="BI91"/>
  <c r="BH91"/>
  <c r="BA91" s="1"/>
  <c r="BG91"/>
  <c r="BF91"/>
  <c r="BE91"/>
  <c r="BD91"/>
  <c r="BC91"/>
  <c r="BB91"/>
  <c r="AX91"/>
  <c r="AW91"/>
  <c r="AV91"/>
  <c r="AC91"/>
  <c r="H91"/>
  <c r="G91" s="1"/>
  <c r="BT90"/>
  <c r="BS90"/>
  <c r="BR90"/>
  <c r="BQ90"/>
  <c r="BP90"/>
  <c r="BO90"/>
  <c r="BN90"/>
  <c r="BM90"/>
  <c r="BK90"/>
  <c r="BJ90"/>
  <c r="BI90"/>
  <c r="BH90"/>
  <c r="BG90"/>
  <c r="BF90"/>
  <c r="BE90"/>
  <c r="BD90"/>
  <c r="BC90"/>
  <c r="BB90"/>
  <c r="AX90"/>
  <c r="AW90"/>
  <c r="AV90"/>
  <c r="AC90"/>
  <c r="G90" s="1"/>
  <c r="H90"/>
  <c r="BT89"/>
  <c r="BS89"/>
  <c r="BR89"/>
  <c r="BQ89"/>
  <c r="BP89"/>
  <c r="BO89"/>
  <c r="BN89"/>
  <c r="BM89"/>
  <c r="BL89"/>
  <c r="BK89"/>
  <c r="BJ89"/>
  <c r="BI89"/>
  <c r="BH89"/>
  <c r="BG89"/>
  <c r="BF89"/>
  <c r="BE89"/>
  <c r="BD89"/>
  <c r="BC89"/>
  <c r="BB89"/>
  <c r="AX89"/>
  <c r="AW89"/>
  <c r="AV89"/>
  <c r="AC89"/>
  <c r="H89"/>
  <c r="G89" s="1"/>
  <c r="BT88"/>
  <c r="BS88"/>
  <c r="BR88"/>
  <c r="BQ88"/>
  <c r="BP88"/>
  <c r="BO88"/>
  <c r="BN88"/>
  <c r="BM88"/>
  <c r="BK88"/>
  <c r="BJ88"/>
  <c r="BI88"/>
  <c r="BH88"/>
  <c r="BG88"/>
  <c r="BF88"/>
  <c r="BE88"/>
  <c r="BD88"/>
  <c r="BC88"/>
  <c r="BB88"/>
  <c r="AX88"/>
  <c r="AW88"/>
  <c r="AV88"/>
  <c r="AC88"/>
  <c r="G88" s="1"/>
  <c r="H88"/>
  <c r="BT87"/>
  <c r="BS87"/>
  <c r="BR87"/>
  <c r="BQ87"/>
  <c r="BP87"/>
  <c r="BO87"/>
  <c r="BN87"/>
  <c r="BM87"/>
  <c r="BL87" s="1"/>
  <c r="BK87"/>
  <c r="BJ87"/>
  <c r="BI87"/>
  <c r="BH87"/>
  <c r="BG87"/>
  <c r="BF87"/>
  <c r="BE87"/>
  <c r="BD87"/>
  <c r="BC87"/>
  <c r="BB87"/>
  <c r="AX87"/>
  <c r="AW87"/>
  <c r="AV87"/>
  <c r="AC87"/>
  <c r="H87"/>
  <c r="G87"/>
  <c r="BT86"/>
  <c r="BS86"/>
  <c r="BR86"/>
  <c r="BQ86"/>
  <c r="BP86"/>
  <c r="BO86"/>
  <c r="BN86"/>
  <c r="BM86"/>
  <c r="BL86"/>
  <c r="BK86"/>
  <c r="BJ86"/>
  <c r="BI86"/>
  <c r="BH86"/>
  <c r="BG86"/>
  <c r="BF86"/>
  <c r="BE86"/>
  <c r="BD86"/>
  <c r="BC86"/>
  <c r="BB86"/>
  <c r="AX86"/>
  <c r="AW86"/>
  <c r="AV86"/>
  <c r="AC86"/>
  <c r="H86"/>
  <c r="G86" s="1"/>
  <c r="BT85"/>
  <c r="BS85"/>
  <c r="BR85"/>
  <c r="BQ85"/>
  <c r="BP85"/>
  <c r="BO85"/>
  <c r="BN85"/>
  <c r="BM85"/>
  <c r="BL85" s="1"/>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s="1"/>
  <c r="AX84"/>
  <c r="AW84"/>
  <c r="AV84"/>
  <c r="AC84"/>
  <c r="H84"/>
  <c r="G84"/>
  <c r="BT83"/>
  <c r="BS83"/>
  <c r="BR83"/>
  <c r="BQ83"/>
  <c r="BP83"/>
  <c r="BO83"/>
  <c r="BN83"/>
  <c r="BM83"/>
  <c r="BK83"/>
  <c r="BJ83"/>
  <c r="BI83"/>
  <c r="BH83"/>
  <c r="BG83"/>
  <c r="BF83"/>
  <c r="BE83"/>
  <c r="BD83"/>
  <c r="BC83"/>
  <c r="BB83"/>
  <c r="AX83"/>
  <c r="AW83"/>
  <c r="AV83"/>
  <c r="AC83"/>
  <c r="H83"/>
  <c r="G83" s="1"/>
  <c r="BT82"/>
  <c r="BS82"/>
  <c r="BR82"/>
  <c r="BQ82"/>
  <c r="BP82"/>
  <c r="BO82"/>
  <c r="BN82"/>
  <c r="BM82"/>
  <c r="BL82"/>
  <c r="BK82"/>
  <c r="BJ82"/>
  <c r="BI82"/>
  <c r="BH82"/>
  <c r="BG82"/>
  <c r="BF82"/>
  <c r="BE82"/>
  <c r="BD82"/>
  <c r="BC82"/>
  <c r="BB82"/>
  <c r="BA82" s="1"/>
  <c r="AX82"/>
  <c r="AW82"/>
  <c r="AV82"/>
  <c r="AC82"/>
  <c r="H82"/>
  <c r="G82"/>
  <c r="BT81"/>
  <c r="BS81"/>
  <c r="BR81"/>
  <c r="BQ81"/>
  <c r="BP81"/>
  <c r="BO81"/>
  <c r="BN81"/>
  <c r="BM81"/>
  <c r="BL81"/>
  <c r="BK81"/>
  <c r="BJ81"/>
  <c r="BI81"/>
  <c r="BH81"/>
  <c r="BG81"/>
  <c r="BF81"/>
  <c r="BE81"/>
  <c r="BD81"/>
  <c r="BC81"/>
  <c r="BB81"/>
  <c r="AX81"/>
  <c r="AW81"/>
  <c r="AV81"/>
  <c r="AC81"/>
  <c r="H81"/>
  <c r="BT80"/>
  <c r="BS80"/>
  <c r="BR80"/>
  <c r="BQ80"/>
  <c r="BP80"/>
  <c r="BO80"/>
  <c r="BN80"/>
  <c r="BL80" s="1"/>
  <c r="BM80"/>
  <c r="BK80"/>
  <c r="BJ80"/>
  <c r="BI80"/>
  <c r="BH80"/>
  <c r="BG80"/>
  <c r="BF80"/>
  <c r="BE80"/>
  <c r="BD80"/>
  <c r="BC80"/>
  <c r="BB80"/>
  <c r="BA80" s="1"/>
  <c r="AZ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L77" s="1"/>
  <c r="AZ77" s="1"/>
  <c r="BQ77"/>
  <c r="BP77"/>
  <c r="BO77"/>
  <c r="BN77"/>
  <c r="BM77"/>
  <c r="BK77"/>
  <c r="BJ77"/>
  <c r="BI77"/>
  <c r="BH77"/>
  <c r="BG77"/>
  <c r="BF77"/>
  <c r="BE77"/>
  <c r="BD77"/>
  <c r="BC77"/>
  <c r="BB77"/>
  <c r="BA77" s="1"/>
  <c r="AX77"/>
  <c r="AW77"/>
  <c r="AV77"/>
  <c r="AC77"/>
  <c r="H77"/>
  <c r="G77"/>
  <c r="BT76"/>
  <c r="BS76"/>
  <c r="BR76"/>
  <c r="BQ76"/>
  <c r="BP76"/>
  <c r="BO76"/>
  <c r="BN76"/>
  <c r="BM76"/>
  <c r="BK76"/>
  <c r="BJ76"/>
  <c r="BI76"/>
  <c r="BH76"/>
  <c r="BG76"/>
  <c r="BF76"/>
  <c r="BE76"/>
  <c r="BD76"/>
  <c r="BC76"/>
  <c r="BA76" s="1"/>
  <c r="BB76"/>
  <c r="AX76"/>
  <c r="AW76"/>
  <c r="AV76"/>
  <c r="AC76"/>
  <c r="H76"/>
  <c r="G76"/>
  <c r="BT75"/>
  <c r="BS75"/>
  <c r="BR75"/>
  <c r="BQ75"/>
  <c r="BP75"/>
  <c r="BO75"/>
  <c r="BN75"/>
  <c r="BM75"/>
  <c r="BK75"/>
  <c r="BJ75"/>
  <c r="BI75"/>
  <c r="BH75"/>
  <c r="BG75"/>
  <c r="BF75"/>
  <c r="BE75"/>
  <c r="BD75"/>
  <c r="BC75"/>
  <c r="BB75"/>
  <c r="AX75"/>
  <c r="AW75"/>
  <c r="AV75"/>
  <c r="AC75"/>
  <c r="H75"/>
  <c r="G75"/>
  <c r="BT74"/>
  <c r="BS74"/>
  <c r="BR74"/>
  <c r="BQ74"/>
  <c r="BP74"/>
  <c r="BO74"/>
  <c r="BN74"/>
  <c r="BM74"/>
  <c r="BK74"/>
  <c r="BJ74"/>
  <c r="BI74"/>
  <c r="BH74"/>
  <c r="BG74"/>
  <c r="BF74"/>
  <c r="BE74"/>
  <c r="BD74"/>
  <c r="BC74"/>
  <c r="BB74"/>
  <c r="AX74"/>
  <c r="AW74"/>
  <c r="AV74"/>
  <c r="AC74"/>
  <c r="H74"/>
  <c r="G74"/>
  <c r="BT73"/>
  <c r="BS73"/>
  <c r="BR73"/>
  <c r="BQ73"/>
  <c r="BP73"/>
  <c r="BO73"/>
  <c r="BN73"/>
  <c r="BM73"/>
  <c r="BK73"/>
  <c r="BJ73"/>
  <c r="BI73"/>
  <c r="BH73"/>
  <c r="BG73"/>
  <c r="BF73"/>
  <c r="BE73"/>
  <c r="BD73"/>
  <c r="BC73"/>
  <c r="BB73"/>
  <c r="AX73"/>
  <c r="AW73"/>
  <c r="AV73"/>
  <c r="AC73"/>
  <c r="H73"/>
  <c r="G73"/>
  <c r="BT72"/>
  <c r="BS72"/>
  <c r="BR72"/>
  <c r="BQ72"/>
  <c r="BP72"/>
  <c r="BO72"/>
  <c r="BN72"/>
  <c r="BL72" s="1"/>
  <c r="BM72"/>
  <c r="BK72"/>
  <c r="BJ72"/>
  <c r="BI72"/>
  <c r="BH72"/>
  <c r="BG72"/>
  <c r="BF72"/>
  <c r="BE72"/>
  <c r="BD72"/>
  <c r="BC72"/>
  <c r="BB72"/>
  <c r="AX72"/>
  <c r="AW72"/>
  <c r="AV72"/>
  <c r="AC72"/>
  <c r="H72"/>
  <c r="BT71"/>
  <c r="BS71"/>
  <c r="BR71"/>
  <c r="BQ71"/>
  <c r="BP71"/>
  <c r="BO71"/>
  <c r="BN71"/>
  <c r="BM71"/>
  <c r="BL71"/>
  <c r="BK71"/>
  <c r="BJ71"/>
  <c r="BI71"/>
  <c r="BH71"/>
  <c r="BG71"/>
  <c r="BF71"/>
  <c r="BE71"/>
  <c r="BD71"/>
  <c r="BC71"/>
  <c r="BB71"/>
  <c r="AX71"/>
  <c r="AW71"/>
  <c r="AV71"/>
  <c r="AC71"/>
  <c r="H71"/>
  <c r="G71"/>
  <c r="BT70"/>
  <c r="BS70"/>
  <c r="BR70"/>
  <c r="BQ70"/>
  <c r="BP70"/>
  <c r="BO70"/>
  <c r="BN70"/>
  <c r="BM70"/>
  <c r="BL70" s="1"/>
  <c r="BK70"/>
  <c r="BJ70"/>
  <c r="BI70"/>
  <c r="BH70"/>
  <c r="BG70"/>
  <c r="BF70"/>
  <c r="BE70"/>
  <c r="BD70"/>
  <c r="BC70"/>
  <c r="BB70"/>
  <c r="BA70" s="1"/>
  <c r="AX70"/>
  <c r="AW70"/>
  <c r="AV70"/>
  <c r="AC70"/>
  <c r="H70"/>
  <c r="G70"/>
  <c r="BT69"/>
  <c r="BS69"/>
  <c r="BR69"/>
  <c r="BQ69"/>
  <c r="BP69"/>
  <c r="BO69"/>
  <c r="BN69"/>
  <c r="BM69"/>
  <c r="BK69"/>
  <c r="BJ69"/>
  <c r="BI69"/>
  <c r="BH69"/>
  <c r="BG69"/>
  <c r="BF69"/>
  <c r="BE69"/>
  <c r="BD69"/>
  <c r="BC69"/>
  <c r="BB69"/>
  <c r="AX69"/>
  <c r="AW69"/>
  <c r="AV69"/>
  <c r="AC69"/>
  <c r="H69"/>
  <c r="G69" s="1"/>
  <c r="BT68"/>
  <c r="BS68"/>
  <c r="BR68"/>
  <c r="BQ68"/>
  <c r="BP68"/>
  <c r="BO68"/>
  <c r="BN68"/>
  <c r="BM68"/>
  <c r="BL68"/>
  <c r="BK68"/>
  <c r="BJ68"/>
  <c r="BI68"/>
  <c r="BH68"/>
  <c r="BG68"/>
  <c r="BF68"/>
  <c r="BE68"/>
  <c r="BD68"/>
  <c r="BC68"/>
  <c r="BB68"/>
  <c r="AX68"/>
  <c r="AW68"/>
  <c r="AV68"/>
  <c r="AC68"/>
  <c r="H68"/>
  <c r="G68" s="1"/>
  <c r="BT67"/>
  <c r="BS67"/>
  <c r="BR67"/>
  <c r="BQ67"/>
  <c r="BP67"/>
  <c r="BO67"/>
  <c r="BL67" s="1"/>
  <c r="BN67"/>
  <c r="BM67"/>
  <c r="BK67"/>
  <c r="BJ67"/>
  <c r="BI67"/>
  <c r="BH67"/>
  <c r="BG67"/>
  <c r="BF67"/>
  <c r="BE67"/>
  <c r="BD67"/>
  <c r="BC67"/>
  <c r="BA67" s="1"/>
  <c r="AZ67" s="1"/>
  <c r="BB67"/>
  <c r="AX67"/>
  <c r="AW67"/>
  <c r="AV67"/>
  <c r="AC67"/>
  <c r="H67"/>
  <c r="G67"/>
  <c r="BT66"/>
  <c r="BS66"/>
  <c r="BR66"/>
  <c r="BQ66"/>
  <c r="BP66"/>
  <c r="BO66"/>
  <c r="BN66"/>
  <c r="BM66"/>
  <c r="BL66" s="1"/>
  <c r="BK66"/>
  <c r="BJ66"/>
  <c r="BI66"/>
  <c r="BH66"/>
  <c r="BG66"/>
  <c r="BF66"/>
  <c r="BE66"/>
  <c r="BD66"/>
  <c r="BC66"/>
  <c r="BA66" s="1"/>
  <c r="BB66"/>
  <c r="AX66"/>
  <c r="AW66"/>
  <c r="AV66"/>
  <c r="AC66"/>
  <c r="H66"/>
  <c r="G66" s="1"/>
  <c r="BT65"/>
  <c r="BS65"/>
  <c r="BR65"/>
  <c r="BQ65"/>
  <c r="BP65"/>
  <c r="BO65"/>
  <c r="BN65"/>
  <c r="BM65"/>
  <c r="BK65"/>
  <c r="BJ65"/>
  <c r="BI65"/>
  <c r="BH65"/>
  <c r="BG65"/>
  <c r="BF65"/>
  <c r="BE65"/>
  <c r="BD65"/>
  <c r="BC65"/>
  <c r="BB65"/>
  <c r="AX65"/>
  <c r="AW65"/>
  <c r="AV65"/>
  <c r="AC65"/>
  <c r="G65" s="1"/>
  <c r="H65"/>
  <c r="BT64"/>
  <c r="BS64"/>
  <c r="BR64"/>
  <c r="BQ64"/>
  <c r="BP64"/>
  <c r="BO64"/>
  <c r="BN64"/>
  <c r="BM64"/>
  <c r="BK64"/>
  <c r="BJ64"/>
  <c r="BI64"/>
  <c r="BH64"/>
  <c r="BG64"/>
  <c r="BF64"/>
  <c r="BE64"/>
  <c r="BA64" s="1"/>
  <c r="BD64"/>
  <c r="BC64"/>
  <c r="BB64"/>
  <c r="AX64"/>
  <c r="AW64"/>
  <c r="AV64"/>
  <c r="AC64"/>
  <c r="H64"/>
  <c r="G64"/>
  <c r="BT63"/>
  <c r="BS63"/>
  <c r="BR63"/>
  <c r="BQ63"/>
  <c r="BP63"/>
  <c r="BL63" s="1"/>
  <c r="BO63"/>
  <c r="BN63"/>
  <c r="BM63"/>
  <c r="BK63"/>
  <c r="BJ63"/>
  <c r="BI63"/>
  <c r="BH63"/>
  <c r="BG63"/>
  <c r="BF63"/>
  <c r="BE63"/>
  <c r="BD63"/>
  <c r="BC63"/>
  <c r="BB63"/>
  <c r="AX63"/>
  <c r="AW63"/>
  <c r="AV63"/>
  <c r="AC63"/>
  <c r="H63"/>
  <c r="G63" s="1"/>
  <c r="BT62"/>
  <c r="BS62"/>
  <c r="BR62"/>
  <c r="BQ62"/>
  <c r="BP62"/>
  <c r="BO62"/>
  <c r="BN62"/>
  <c r="BM62"/>
  <c r="BK62"/>
  <c r="BJ62"/>
  <c r="BI62"/>
  <c r="BH62"/>
  <c r="BG62"/>
  <c r="BF62"/>
  <c r="BE62"/>
  <c r="BD62"/>
  <c r="BC62"/>
  <c r="BB62"/>
  <c r="AX62"/>
  <c r="AW62"/>
  <c r="AV62"/>
  <c r="AC62"/>
  <c r="H62"/>
  <c r="G62"/>
  <c r="BT61"/>
  <c r="BS61"/>
  <c r="BR61"/>
  <c r="BQ61"/>
  <c r="BP61"/>
  <c r="BO61"/>
  <c r="BN61"/>
  <c r="BM61"/>
  <c r="BK61"/>
  <c r="BJ61"/>
  <c r="BI61"/>
  <c r="BH61"/>
  <c r="BG61"/>
  <c r="BF61"/>
  <c r="BE61"/>
  <c r="BD61"/>
  <c r="BA61" s="1"/>
  <c r="BC61"/>
  <c r="BB61"/>
  <c r="AX61"/>
  <c r="AW61"/>
  <c r="AV61"/>
  <c r="AC61"/>
  <c r="H61"/>
  <c r="G61"/>
  <c r="BT60"/>
  <c r="BS60"/>
  <c r="BL60" s="1"/>
  <c r="BR60"/>
  <c r="BQ60"/>
  <c r="BP60"/>
  <c r="BO60"/>
  <c r="BN60"/>
  <c r="BM60"/>
  <c r="BK60"/>
  <c r="BJ60"/>
  <c r="BI60"/>
  <c r="BH60"/>
  <c r="BG60"/>
  <c r="BF60"/>
  <c r="BE60"/>
  <c r="BD60"/>
  <c r="BC60"/>
  <c r="BB60"/>
  <c r="AX60"/>
  <c r="AW60"/>
  <c r="AV60"/>
  <c r="AC60"/>
  <c r="H60"/>
  <c r="BT59"/>
  <c r="BL59" s="1"/>
  <c r="BS59"/>
  <c r="BR59"/>
  <c r="BQ59"/>
  <c r="BP59"/>
  <c r="BO59"/>
  <c r="BN59"/>
  <c r="BM59"/>
  <c r="BK59"/>
  <c r="BJ59"/>
  <c r="BI59"/>
  <c r="BH59"/>
  <c r="BG59"/>
  <c r="BF59"/>
  <c r="BE59"/>
  <c r="BD59"/>
  <c r="BC59"/>
  <c r="BA59" s="1"/>
  <c r="BB59"/>
  <c r="AX59"/>
  <c r="AW59"/>
  <c r="AV59"/>
  <c r="AC59"/>
  <c r="H59"/>
  <c r="G59" s="1"/>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K57"/>
  <c r="BJ57"/>
  <c r="BI57"/>
  <c r="BH57"/>
  <c r="BG57"/>
  <c r="BF57"/>
  <c r="BE57"/>
  <c r="BD57"/>
  <c r="BC57"/>
  <c r="BA57" s="1"/>
  <c r="BB57"/>
  <c r="AX57"/>
  <c r="AW57"/>
  <c r="AV57"/>
  <c r="AC57"/>
  <c r="G57" s="1"/>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A55" s="1"/>
  <c r="BD55"/>
  <c r="BC55"/>
  <c r="BB55"/>
  <c r="AX55"/>
  <c r="AW55"/>
  <c r="AV55"/>
  <c r="AC55"/>
  <c r="H55"/>
  <c r="BT54"/>
  <c r="BS54"/>
  <c r="BR54"/>
  <c r="BQ54"/>
  <c r="BP54"/>
  <c r="BO54"/>
  <c r="BL54" s="1"/>
  <c r="BN54"/>
  <c r="BM54"/>
  <c r="BK54"/>
  <c r="BJ54"/>
  <c r="BI54"/>
  <c r="BH54"/>
  <c r="BG54"/>
  <c r="BF54"/>
  <c r="BE54"/>
  <c r="BD54"/>
  <c r="BC54"/>
  <c r="BA54" s="1"/>
  <c r="BB54"/>
  <c r="AX54"/>
  <c r="AW54"/>
  <c r="AV54"/>
  <c r="AC54"/>
  <c r="H54"/>
  <c r="G54" s="1"/>
  <c r="BT53"/>
  <c r="BS53"/>
  <c r="BR53"/>
  <c r="BQ53"/>
  <c r="BP53"/>
  <c r="BO53"/>
  <c r="BN53"/>
  <c r="BM53"/>
  <c r="BK53"/>
  <c r="BJ53"/>
  <c r="BI53"/>
  <c r="BH53"/>
  <c r="BG53"/>
  <c r="BF53"/>
  <c r="BE53"/>
  <c r="BD53"/>
  <c r="BA53" s="1"/>
  <c r="BC53"/>
  <c r="BB53"/>
  <c r="AX53"/>
  <c r="AW53"/>
  <c r="AV53"/>
  <c r="AC53"/>
  <c r="H53"/>
  <c r="G53"/>
  <c r="BT52"/>
  <c r="BS52"/>
  <c r="BR52"/>
  <c r="BQ52"/>
  <c r="BP52"/>
  <c r="BO52"/>
  <c r="BN52"/>
  <c r="BM52"/>
  <c r="BK52"/>
  <c r="BJ52"/>
  <c r="BI52"/>
  <c r="BH52"/>
  <c r="BG52"/>
  <c r="BF52"/>
  <c r="BE52"/>
  <c r="BA52" s="1"/>
  <c r="BD52"/>
  <c r="BC52"/>
  <c r="BB52"/>
  <c r="AX52"/>
  <c r="AW52"/>
  <c r="AV52"/>
  <c r="AC52"/>
  <c r="H52"/>
  <c r="G52" s="1"/>
  <c r="BT51"/>
  <c r="BL51" s="1"/>
  <c r="BS51"/>
  <c r="BR51"/>
  <c r="BQ51"/>
  <c r="BP51"/>
  <c r="BO51"/>
  <c r="BN51"/>
  <c r="BM51"/>
  <c r="BK51"/>
  <c r="BJ51"/>
  <c r="BI51"/>
  <c r="BH51"/>
  <c r="BG51"/>
  <c r="BF51"/>
  <c r="BE51"/>
  <c r="BD51"/>
  <c r="BC51"/>
  <c r="BB51"/>
  <c r="AX51"/>
  <c r="AW51"/>
  <c r="AV51"/>
  <c r="AC51"/>
  <c r="G51" s="1"/>
  <c r="H51"/>
  <c r="BT50"/>
  <c r="BS50"/>
  <c r="BR50"/>
  <c r="BQ50"/>
  <c r="BP50"/>
  <c r="BO50"/>
  <c r="BN50"/>
  <c r="BM50"/>
  <c r="BL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BA49"/>
  <c r="AZ49" s="1"/>
  <c r="AX49"/>
  <c r="AW49"/>
  <c r="AV49"/>
  <c r="AC49"/>
  <c r="H49"/>
  <c r="G49"/>
  <c r="BT48"/>
  <c r="BS48"/>
  <c r="BR48"/>
  <c r="BQ48"/>
  <c r="BP48"/>
  <c r="BO48"/>
  <c r="BN48"/>
  <c r="BM48"/>
  <c r="BL48" s="1"/>
  <c r="BK48"/>
  <c r="BJ48"/>
  <c r="BI48"/>
  <c r="BH48"/>
  <c r="BG48"/>
  <c r="BF48"/>
  <c r="BE48"/>
  <c r="BD48"/>
  <c r="BA48" s="1"/>
  <c r="BC48"/>
  <c r="BB48"/>
  <c r="AX48"/>
  <c r="AW48"/>
  <c r="AV48"/>
  <c r="AC48"/>
  <c r="H48"/>
  <c r="G48" s="1"/>
  <c r="BT47"/>
  <c r="BS47"/>
  <c r="BR47"/>
  <c r="BQ47"/>
  <c r="BP47"/>
  <c r="BO47"/>
  <c r="BN47"/>
  <c r="BM47"/>
  <c r="BK47"/>
  <c r="BJ47"/>
  <c r="BI47"/>
  <c r="BH47"/>
  <c r="BG47"/>
  <c r="BF47"/>
  <c r="BE47"/>
  <c r="BD47"/>
  <c r="BC47"/>
  <c r="BB47"/>
  <c r="AX47"/>
  <c r="AW47"/>
  <c r="AV47"/>
  <c r="AC47"/>
  <c r="H47"/>
  <c r="G47"/>
  <c r="BT46"/>
  <c r="BS46"/>
  <c r="BR46"/>
  <c r="BQ46"/>
  <c r="BP46"/>
  <c r="BO46"/>
  <c r="BN46"/>
  <c r="BM46"/>
  <c r="BK46"/>
  <c r="BJ46"/>
  <c r="BI46"/>
  <c r="BH46"/>
  <c r="BG46"/>
  <c r="BF46"/>
  <c r="BE46"/>
  <c r="BD46"/>
  <c r="BC46"/>
  <c r="BB46"/>
  <c r="AX46"/>
  <c r="AW46"/>
  <c r="AV46"/>
  <c r="AC46"/>
  <c r="H46"/>
  <c r="BT45"/>
  <c r="BS45"/>
  <c r="BR45"/>
  <c r="BQ45"/>
  <c r="BP45"/>
  <c r="BO45"/>
  <c r="BL45" s="1"/>
  <c r="BN45"/>
  <c r="BM45"/>
  <c r="BK45"/>
  <c r="BJ45"/>
  <c r="BI45"/>
  <c r="BH45"/>
  <c r="BG45"/>
  <c r="BF45"/>
  <c r="BE45"/>
  <c r="BD45"/>
  <c r="BC45"/>
  <c r="BA45" s="1"/>
  <c r="AZ45" s="1"/>
  <c r="BB45"/>
  <c r="AX45"/>
  <c r="AW45"/>
  <c r="AV45"/>
  <c r="AC45"/>
  <c r="H45"/>
  <c r="G45" s="1"/>
  <c r="BT44"/>
  <c r="BS44"/>
  <c r="BR44"/>
  <c r="BL44" s="1"/>
  <c r="BQ44"/>
  <c r="BP44"/>
  <c r="BO44"/>
  <c r="BN44"/>
  <c r="BM44"/>
  <c r="BK44"/>
  <c r="BJ44"/>
  <c r="BI44"/>
  <c r="BH44"/>
  <c r="BG44"/>
  <c r="BF44"/>
  <c r="BA44" s="1"/>
  <c r="AZ44" s="1"/>
  <c r="BE44"/>
  <c r="BD44"/>
  <c r="BC44"/>
  <c r="BB44"/>
  <c r="AX44"/>
  <c r="AW44"/>
  <c r="AV44"/>
  <c r="AC44"/>
  <c r="H44"/>
  <c r="G44"/>
  <c r="BT43"/>
  <c r="BS43"/>
  <c r="BR43"/>
  <c r="BQ43"/>
  <c r="BP43"/>
  <c r="BO43"/>
  <c r="BN43"/>
  <c r="BM43"/>
  <c r="BK43"/>
  <c r="BJ43"/>
  <c r="BI43"/>
  <c r="BH43"/>
  <c r="BG43"/>
  <c r="BF43"/>
  <c r="BE43"/>
  <c r="BD43"/>
  <c r="BC43"/>
  <c r="BB43"/>
  <c r="BA43" s="1"/>
  <c r="AX43"/>
  <c r="AW43"/>
  <c r="AV43"/>
  <c r="AC43"/>
  <c r="H43"/>
  <c r="G43"/>
  <c r="BT42"/>
  <c r="BS42"/>
  <c r="BR42"/>
  <c r="BQ42"/>
  <c r="BP42"/>
  <c r="BO42"/>
  <c r="BN42"/>
  <c r="BM42"/>
  <c r="BL42"/>
  <c r="BK42"/>
  <c r="BJ42"/>
  <c r="BI42"/>
  <c r="BH42"/>
  <c r="BG42"/>
  <c r="BF42"/>
  <c r="BE42"/>
  <c r="BD42"/>
  <c r="BC42"/>
  <c r="BB42"/>
  <c r="AX42"/>
  <c r="AW42"/>
  <c r="AV42"/>
  <c r="AC42"/>
  <c r="H42"/>
  <c r="G42" s="1"/>
  <c r="BT41"/>
  <c r="BS41"/>
  <c r="BR41"/>
  <c r="BQ41"/>
  <c r="BP41"/>
  <c r="BO41"/>
  <c r="BN41"/>
  <c r="BL41" s="1"/>
  <c r="BM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G40" s="1"/>
  <c r="H40"/>
  <c r="BT39"/>
  <c r="BS39"/>
  <c r="BR39"/>
  <c r="BQ39"/>
  <c r="BP39"/>
  <c r="BO39"/>
  <c r="BN39"/>
  <c r="BM39"/>
  <c r="BK39"/>
  <c r="BJ39"/>
  <c r="BI39"/>
  <c r="BH39"/>
  <c r="BG39"/>
  <c r="BF39"/>
  <c r="BE39"/>
  <c r="BD39"/>
  <c r="BC39"/>
  <c r="BB39"/>
  <c r="AX39"/>
  <c r="AW39"/>
  <c r="AV39"/>
  <c r="AC39"/>
  <c r="H39"/>
  <c r="G39"/>
  <c r="BT38"/>
  <c r="BS38"/>
  <c r="BR38"/>
  <c r="BQ38"/>
  <c r="BP38"/>
  <c r="BO38"/>
  <c r="BN38"/>
  <c r="BM38"/>
  <c r="BK38"/>
  <c r="BJ38"/>
  <c r="BI38"/>
  <c r="BH38"/>
  <c r="BG38"/>
  <c r="BF38"/>
  <c r="BE38"/>
  <c r="BD38"/>
  <c r="BC38"/>
  <c r="BB38"/>
  <c r="AX38"/>
  <c r="AW38"/>
  <c r="AV38"/>
  <c r="AC38"/>
  <c r="H38"/>
  <c r="G38"/>
  <c r="BT37"/>
  <c r="BS37"/>
  <c r="BR37"/>
  <c r="BQ37"/>
  <c r="BP37"/>
  <c r="BO37"/>
  <c r="BN37"/>
  <c r="BM37"/>
  <c r="BK37"/>
  <c r="BJ37"/>
  <c r="BI37"/>
  <c r="BH37"/>
  <c r="BG37"/>
  <c r="BF37"/>
  <c r="BE37"/>
  <c r="BA37" s="1"/>
  <c r="BD37"/>
  <c r="BC37"/>
  <c r="BB37"/>
  <c r="AX37"/>
  <c r="AW37"/>
  <c r="AV37"/>
  <c r="AC37"/>
  <c r="G37" s="1"/>
  <c r="H37"/>
  <c r="BT36"/>
  <c r="BS36"/>
  <c r="BR36"/>
  <c r="BQ36"/>
  <c r="BP36"/>
  <c r="BO36"/>
  <c r="BN36"/>
  <c r="BM36"/>
  <c r="BL36"/>
  <c r="BK36"/>
  <c r="BJ36"/>
  <c r="BI36"/>
  <c r="BA36" s="1"/>
  <c r="AZ36" s="1"/>
  <c r="BH36"/>
  <c r="BG36"/>
  <c r="BF36"/>
  <c r="BE36"/>
  <c r="BD36"/>
  <c r="BC36"/>
  <c r="BB36"/>
  <c r="AX36"/>
  <c r="AW36"/>
  <c r="AV36"/>
  <c r="AC36"/>
  <c r="H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K34"/>
  <c r="BJ34"/>
  <c r="BI34"/>
  <c r="BH34"/>
  <c r="BG34"/>
  <c r="BF34"/>
  <c r="BE34"/>
  <c r="BD34"/>
  <c r="BC34"/>
  <c r="BA34" s="1"/>
  <c r="BB34"/>
  <c r="AX34"/>
  <c r="AW34"/>
  <c r="AV34"/>
  <c r="AC34"/>
  <c r="H34"/>
  <c r="G34" s="1"/>
  <c r="BT33"/>
  <c r="BS33"/>
  <c r="BR33"/>
  <c r="BQ33"/>
  <c r="BP33"/>
  <c r="BO33"/>
  <c r="BN33"/>
  <c r="BM33"/>
  <c r="BK33"/>
  <c r="BJ33"/>
  <c r="BI33"/>
  <c r="BH33"/>
  <c r="BG33"/>
  <c r="BF33"/>
  <c r="BE33"/>
  <c r="BD33"/>
  <c r="BC33"/>
  <c r="BB33"/>
  <c r="AX33"/>
  <c r="AW33"/>
  <c r="AV33"/>
  <c r="AC33"/>
  <c r="H33"/>
  <c r="G33"/>
  <c r="BT32"/>
  <c r="BL32" s="1"/>
  <c r="BS32"/>
  <c r="BR32"/>
  <c r="BQ32"/>
  <c r="BP32"/>
  <c r="BO32"/>
  <c r="BN32"/>
  <c r="BM32"/>
  <c r="BK32"/>
  <c r="BJ32"/>
  <c r="BI32"/>
  <c r="BH32"/>
  <c r="BG32"/>
  <c r="BF32"/>
  <c r="BA32" s="1"/>
  <c r="BE32"/>
  <c r="BD32"/>
  <c r="BC32"/>
  <c r="BB32"/>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A30" s="1"/>
  <c r="AZ30" s="1"/>
  <c r="BB30"/>
  <c r="AX30"/>
  <c r="AW30"/>
  <c r="AV30"/>
  <c r="AC30"/>
  <c r="H30"/>
  <c r="G30" s="1"/>
  <c r="BT29"/>
  <c r="BS29"/>
  <c r="BR29"/>
  <c r="BQ29"/>
  <c r="BP29"/>
  <c r="BO29"/>
  <c r="BN29"/>
  <c r="BM29"/>
  <c r="BK29"/>
  <c r="BJ29"/>
  <c r="BI29"/>
  <c r="BH29"/>
  <c r="BG29"/>
  <c r="BF29"/>
  <c r="BE29"/>
  <c r="BD29"/>
  <c r="BC29"/>
  <c r="BB29"/>
  <c r="BA29"/>
  <c r="AX29"/>
  <c r="AW29"/>
  <c r="AV29"/>
  <c r="AC29"/>
  <c r="H29"/>
  <c r="G29"/>
  <c r="BT28"/>
  <c r="BS28"/>
  <c r="BR28"/>
  <c r="BQ28"/>
  <c r="BP28"/>
  <c r="BO28"/>
  <c r="BN28"/>
  <c r="BM28"/>
  <c r="BL28" s="1"/>
  <c r="BK28"/>
  <c r="BJ28"/>
  <c r="BI28"/>
  <c r="BH28"/>
  <c r="BG28"/>
  <c r="BF28"/>
  <c r="BE28"/>
  <c r="BD28"/>
  <c r="BA28" s="1"/>
  <c r="AZ28" s="1"/>
  <c r="BC28"/>
  <c r="BB28"/>
  <c r="AX28"/>
  <c r="AW28"/>
  <c r="AV28"/>
  <c r="AC28"/>
  <c r="H28"/>
  <c r="G28" s="1"/>
  <c r="BT27"/>
  <c r="BS27"/>
  <c r="BR27"/>
  <c r="BQ27"/>
  <c r="BP27"/>
  <c r="BO27"/>
  <c r="BL27" s="1"/>
  <c r="BN27"/>
  <c r="BM27"/>
  <c r="BK27"/>
  <c r="BJ27"/>
  <c r="BI27"/>
  <c r="BH27"/>
  <c r="BG27"/>
  <c r="BF27"/>
  <c r="BE27"/>
  <c r="BD27"/>
  <c r="BC27"/>
  <c r="BB27"/>
  <c r="BA27" s="1"/>
  <c r="AX27"/>
  <c r="AW27"/>
  <c r="AV27"/>
  <c r="AC27"/>
  <c r="H27"/>
  <c r="G27"/>
  <c r="BT26"/>
  <c r="BS26"/>
  <c r="BR26"/>
  <c r="BQ26"/>
  <c r="BP26"/>
  <c r="BO26"/>
  <c r="BN26"/>
  <c r="BM26"/>
  <c r="BL26"/>
  <c r="BK26"/>
  <c r="BJ26"/>
  <c r="BI26"/>
  <c r="BH26"/>
  <c r="BG26"/>
  <c r="BF26"/>
  <c r="BA26" s="1"/>
  <c r="AZ26" s="1"/>
  <c r="BE26"/>
  <c r="BD26"/>
  <c r="BC26"/>
  <c r="BB26"/>
  <c r="AX26"/>
  <c r="AW26"/>
  <c r="AV26"/>
  <c r="AC26"/>
  <c r="H26"/>
  <c r="G26"/>
  <c r="BT25"/>
  <c r="BS25"/>
  <c r="BR25"/>
  <c r="BQ25"/>
  <c r="BP25"/>
  <c r="BO25"/>
  <c r="BN25"/>
  <c r="BM25"/>
  <c r="BL25"/>
  <c r="BK25"/>
  <c r="BJ25"/>
  <c r="BI25"/>
  <c r="BH25"/>
  <c r="BG25"/>
  <c r="BF25"/>
  <c r="BE25"/>
  <c r="BD25"/>
  <c r="BC25"/>
  <c r="BA25" s="1"/>
  <c r="AZ25" s="1"/>
  <c r="BB25"/>
  <c r="AX25"/>
  <c r="AW25"/>
  <c r="AV25"/>
  <c r="AC25"/>
  <c r="H25"/>
  <c r="G25" s="1"/>
  <c r="BT24"/>
  <c r="BS24"/>
  <c r="BR24"/>
  <c r="BQ24"/>
  <c r="BP24"/>
  <c r="BO24"/>
  <c r="BL24" s="1"/>
  <c r="BN24"/>
  <c r="BM24"/>
  <c r="BK24"/>
  <c r="BJ24"/>
  <c r="BI24"/>
  <c r="BH24"/>
  <c r="BG24"/>
  <c r="BF24"/>
  <c r="BE24"/>
  <c r="BD24"/>
  <c r="BC24"/>
  <c r="BA24" s="1"/>
  <c r="BB24"/>
  <c r="AX24"/>
  <c r="AW24"/>
  <c r="AV24"/>
  <c r="AC24"/>
  <c r="H24"/>
  <c r="G24"/>
  <c r="BT23"/>
  <c r="BS23"/>
  <c r="BR23"/>
  <c r="BQ23"/>
  <c r="BP23"/>
  <c r="BO23"/>
  <c r="BN23"/>
  <c r="BM23"/>
  <c r="BL23" s="1"/>
  <c r="BK23"/>
  <c r="BJ23"/>
  <c r="BI23"/>
  <c r="BH23"/>
  <c r="BG23"/>
  <c r="BF23"/>
  <c r="BE23"/>
  <c r="BD23"/>
  <c r="BC23"/>
  <c r="BB23"/>
  <c r="BA23" s="1"/>
  <c r="AX23"/>
  <c r="AW23"/>
  <c r="AV23"/>
  <c r="AC23"/>
  <c r="H23"/>
  <c r="G23" s="1"/>
  <c r="BT22"/>
  <c r="BS22"/>
  <c r="BR22"/>
  <c r="BQ22"/>
  <c r="BP22"/>
  <c r="BO22"/>
  <c r="BN22"/>
  <c r="BM22"/>
  <c r="BK22"/>
  <c r="BJ22"/>
  <c r="BI22"/>
  <c r="BH22"/>
  <c r="BG22"/>
  <c r="BF22"/>
  <c r="BE22"/>
  <c r="BD22"/>
  <c r="BC22"/>
  <c r="BB22"/>
  <c r="BA22" s="1"/>
  <c r="AX22"/>
  <c r="AW22"/>
  <c r="AV22"/>
  <c r="AC22"/>
  <c r="H22"/>
  <c r="G22" s="1"/>
  <c r="BT21"/>
  <c r="BL21" s="1"/>
  <c r="BS21"/>
  <c r="BR21"/>
  <c r="BQ21"/>
  <c r="BP21"/>
  <c r="BO21"/>
  <c r="BN21"/>
  <c r="BM21"/>
  <c r="BK21"/>
  <c r="BJ21"/>
  <c r="BI21"/>
  <c r="BH21"/>
  <c r="BA21" s="1"/>
  <c r="BG21"/>
  <c r="BF21"/>
  <c r="BE21"/>
  <c r="BD21"/>
  <c r="BC21"/>
  <c r="BB21"/>
  <c r="AX21"/>
  <c r="AW21"/>
  <c r="AV21"/>
  <c r="AC21"/>
  <c r="G21" s="1"/>
  <c r="H21"/>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s="1"/>
  <c r="BK203"/>
  <c r="BJ203"/>
  <c r="BI203"/>
  <c r="BH203"/>
  <c r="BG203"/>
  <c r="BF203"/>
  <c r="BE203"/>
  <c r="BD203"/>
  <c r="BC203"/>
  <c r="BB203"/>
  <c r="BA203"/>
  <c r="AX203"/>
  <c r="AW203"/>
  <c r="AV203"/>
  <c r="AC203"/>
  <c r="H203"/>
  <c r="G203" s="1"/>
  <c r="BT202"/>
  <c r="BS202"/>
  <c r="BR202"/>
  <c r="BQ202"/>
  <c r="BP202"/>
  <c r="BO202"/>
  <c r="BN202"/>
  <c r="BL202" s="1"/>
  <c r="BM202"/>
  <c r="BK202"/>
  <c r="BJ202"/>
  <c r="BI202"/>
  <c r="BH202"/>
  <c r="BG202"/>
  <c r="BF202"/>
  <c r="BE202"/>
  <c r="BD202"/>
  <c r="BC202"/>
  <c r="BB202"/>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s="1"/>
  <c r="BK200"/>
  <c r="BJ200"/>
  <c r="BI200"/>
  <c r="BH200"/>
  <c r="BG200"/>
  <c r="BF200"/>
  <c r="BE200"/>
  <c r="BD200"/>
  <c r="BC200"/>
  <c r="BB200"/>
  <c r="AX200"/>
  <c r="AW200"/>
  <c r="AV200"/>
  <c r="AC200"/>
  <c r="G200" s="1"/>
  <c r="H200"/>
  <c r="BT199"/>
  <c r="BS199"/>
  <c r="BR199"/>
  <c r="BQ199"/>
  <c r="BP199"/>
  <c r="BO199"/>
  <c r="BL199" s="1"/>
  <c r="BN199"/>
  <c r="BM199"/>
  <c r="BK199"/>
  <c r="BJ199"/>
  <c r="BI199"/>
  <c r="BH199"/>
  <c r="BG199"/>
  <c r="BF199"/>
  <c r="BE199"/>
  <c r="BD199"/>
  <c r="BC199"/>
  <c r="BB199"/>
  <c r="AX199"/>
  <c r="AW199"/>
  <c r="AV199"/>
  <c r="AC199"/>
  <c r="H199"/>
  <c r="G199"/>
  <c r="BT198"/>
  <c r="BS198"/>
  <c r="BR198"/>
  <c r="BQ198"/>
  <c r="BP198"/>
  <c r="BO198"/>
  <c r="BN198"/>
  <c r="BM198"/>
  <c r="BK198"/>
  <c r="BJ198"/>
  <c r="BI198"/>
  <c r="BH198"/>
  <c r="BG198"/>
  <c r="BF198"/>
  <c r="BE198"/>
  <c r="BD198"/>
  <c r="BA198" s="1"/>
  <c r="BC198"/>
  <c r="BB198"/>
  <c r="AX198"/>
  <c r="AW198"/>
  <c r="AV198"/>
  <c r="AC198"/>
  <c r="H198"/>
  <c r="BT197"/>
  <c r="BS197"/>
  <c r="BR197"/>
  <c r="BQ197"/>
  <c r="BP197"/>
  <c r="BO197"/>
  <c r="BN197"/>
  <c r="BM197"/>
  <c r="BK197"/>
  <c r="BJ197"/>
  <c r="BI197"/>
  <c r="BH197"/>
  <c r="BG197"/>
  <c r="BF197"/>
  <c r="BE197"/>
  <c r="BD197"/>
  <c r="BC197"/>
  <c r="BB197"/>
  <c r="AX197"/>
  <c r="AW197"/>
  <c r="AV197"/>
  <c r="AC197"/>
  <c r="H197"/>
  <c r="G197"/>
  <c r="BT196"/>
  <c r="BL196" s="1"/>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G195" s="1"/>
  <c r="H195"/>
  <c r="BT194"/>
  <c r="BS194"/>
  <c r="BR194"/>
  <c r="BQ194"/>
  <c r="BP194"/>
  <c r="BO194"/>
  <c r="BN194"/>
  <c r="BM194"/>
  <c r="BL194"/>
  <c r="BK194"/>
  <c r="BJ194"/>
  <c r="BI194"/>
  <c r="BH194"/>
  <c r="BG194"/>
  <c r="BF194"/>
  <c r="BE194"/>
  <c r="BD194"/>
  <c r="BC194"/>
  <c r="BA194" s="1"/>
  <c r="AZ194" s="1"/>
  <c r="BB194"/>
  <c r="AX194"/>
  <c r="AW194"/>
  <c r="AV194"/>
  <c r="AC194"/>
  <c r="H194"/>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L192" s="1"/>
  <c r="BK192"/>
  <c r="BJ192"/>
  <c r="BI192"/>
  <c r="BH192"/>
  <c r="BG192"/>
  <c r="BF192"/>
  <c r="BE192"/>
  <c r="BD192"/>
  <c r="BC192"/>
  <c r="BB192"/>
  <c r="AX192"/>
  <c r="AW192"/>
  <c r="AV192"/>
  <c r="AC192"/>
  <c r="G192" s="1"/>
  <c r="H192"/>
  <c r="BT191"/>
  <c r="BS191"/>
  <c r="BR191"/>
  <c r="BQ191"/>
  <c r="BP191"/>
  <c r="BO191"/>
  <c r="BN191"/>
  <c r="BM191"/>
  <c r="BK191"/>
  <c r="BJ191"/>
  <c r="BI191"/>
  <c r="BH191"/>
  <c r="BG191"/>
  <c r="BF191"/>
  <c r="BE191"/>
  <c r="BD191"/>
  <c r="BC191"/>
  <c r="BB191"/>
  <c r="BA191" s="1"/>
  <c r="AX191"/>
  <c r="AW191"/>
  <c r="AV191"/>
  <c r="AC191"/>
  <c r="H191"/>
  <c r="G191"/>
  <c r="BT190"/>
  <c r="BS190"/>
  <c r="BR190"/>
  <c r="BQ190"/>
  <c r="BP190"/>
  <c r="BO190"/>
  <c r="BN190"/>
  <c r="BM190"/>
  <c r="BK190"/>
  <c r="BJ190"/>
  <c r="BI190"/>
  <c r="BH190"/>
  <c r="BG190"/>
  <c r="BF190"/>
  <c r="BE190"/>
  <c r="BD190"/>
  <c r="BC190"/>
  <c r="BA190" s="1"/>
  <c r="BB190"/>
  <c r="AX190"/>
  <c r="AW190"/>
  <c r="AV190"/>
  <c r="AC190"/>
  <c r="H190"/>
  <c r="BT189"/>
  <c r="BS189"/>
  <c r="BR189"/>
  <c r="BQ189"/>
  <c r="BP189"/>
  <c r="BO189"/>
  <c r="BN189"/>
  <c r="BM189"/>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G187"/>
  <c r="BT186"/>
  <c r="BS186"/>
  <c r="BR186"/>
  <c r="BQ186"/>
  <c r="BP186"/>
  <c r="BO186"/>
  <c r="BN186"/>
  <c r="BM186"/>
  <c r="BK186"/>
  <c r="BJ186"/>
  <c r="BI186"/>
  <c r="BH186"/>
  <c r="BA186" s="1"/>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AX181"/>
  <c r="AW181"/>
  <c r="AV181"/>
  <c r="AC181"/>
  <c r="H181"/>
  <c r="G181" s="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B178"/>
  <c r="AX178"/>
  <c r="AW178"/>
  <c r="AV178"/>
  <c r="AC178"/>
  <c r="H178"/>
  <c r="G178"/>
  <c r="BT177"/>
  <c r="BS177"/>
  <c r="BR177"/>
  <c r="BQ177"/>
  <c r="BP177"/>
  <c r="BO177"/>
  <c r="BN177"/>
  <c r="BM177"/>
  <c r="BK177"/>
  <c r="BJ177"/>
  <c r="BI177"/>
  <c r="BH177"/>
  <c r="BA177" s="1"/>
  <c r="BG177"/>
  <c r="BF177"/>
  <c r="BE177"/>
  <c r="BD177"/>
  <c r="BC177"/>
  <c r="BB177"/>
  <c r="AX177"/>
  <c r="AW177"/>
  <c r="AV177"/>
  <c r="AC177"/>
  <c r="H177"/>
  <c r="BT176"/>
  <c r="BS176"/>
  <c r="BR176"/>
  <c r="BQ176"/>
  <c r="BP176"/>
  <c r="BO176"/>
  <c r="BN176"/>
  <c r="BL176" s="1"/>
  <c r="BM176"/>
  <c r="BK176"/>
  <c r="BJ176"/>
  <c r="BI176"/>
  <c r="BH176"/>
  <c r="BG176"/>
  <c r="BF176"/>
  <c r="BE176"/>
  <c r="BD176"/>
  <c r="BC176"/>
  <c r="BB176"/>
  <c r="BA176" s="1"/>
  <c r="AX176"/>
  <c r="AW176"/>
  <c r="AV176"/>
  <c r="AC176"/>
  <c r="H176"/>
  <c r="G176" s="1"/>
  <c r="BT175"/>
  <c r="BS175"/>
  <c r="BR175"/>
  <c r="BQ175"/>
  <c r="BP175"/>
  <c r="BO175"/>
  <c r="BN175"/>
  <c r="BM175"/>
  <c r="BL175" s="1"/>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s="1"/>
  <c r="AX172"/>
  <c r="AW172"/>
  <c r="AV172"/>
  <c r="AC172"/>
  <c r="H172"/>
  <c r="G172"/>
  <c r="BT171"/>
  <c r="BS171"/>
  <c r="BR171"/>
  <c r="BQ171"/>
  <c r="BP171"/>
  <c r="BO171"/>
  <c r="BN171"/>
  <c r="BM171"/>
  <c r="BK171"/>
  <c r="BJ171"/>
  <c r="BI171"/>
  <c r="BH171"/>
  <c r="BA171" s="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K164"/>
  <c r="BJ164"/>
  <c r="BI164"/>
  <c r="BH164"/>
  <c r="BG164"/>
  <c r="BF164"/>
  <c r="BE164"/>
  <c r="BD164"/>
  <c r="BC164"/>
  <c r="BB164"/>
  <c r="AX164"/>
  <c r="AW164"/>
  <c r="AV164"/>
  <c r="AC164"/>
  <c r="H164"/>
  <c r="G164"/>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L161"/>
  <c r="BK161"/>
  <c r="BJ161"/>
  <c r="BI161"/>
  <c r="BH161"/>
  <c r="BG161"/>
  <c r="BF161"/>
  <c r="BE161"/>
  <c r="BD161"/>
  <c r="BC161"/>
  <c r="BB161"/>
  <c r="AX161"/>
  <c r="AW161"/>
  <c r="AV161"/>
  <c r="AC161"/>
  <c r="G161" s="1"/>
  <c r="H161"/>
  <c r="BT160"/>
  <c r="BS160"/>
  <c r="BR160"/>
  <c r="BQ160"/>
  <c r="BP160"/>
  <c r="BO160"/>
  <c r="BN160"/>
  <c r="BM160"/>
  <c r="BL160" s="1"/>
  <c r="BK160"/>
  <c r="BJ160"/>
  <c r="BI160"/>
  <c r="BH160"/>
  <c r="BG160"/>
  <c r="BF160"/>
  <c r="BE160"/>
  <c r="BD160"/>
  <c r="BC160"/>
  <c r="BB160"/>
  <c r="BA160"/>
  <c r="AZ160" s="1"/>
  <c r="AX160"/>
  <c r="AW160"/>
  <c r="AV160"/>
  <c r="AC160"/>
  <c r="H160"/>
  <c r="G160"/>
  <c r="BT159"/>
  <c r="BS159"/>
  <c r="BR159"/>
  <c r="BQ159"/>
  <c r="BP159"/>
  <c r="BO159"/>
  <c r="BN159"/>
  <c r="BL159" s="1"/>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A158" s="1"/>
  <c r="BB158"/>
  <c r="AX158"/>
  <c r="AW158"/>
  <c r="AV158"/>
  <c r="AC158"/>
  <c r="H158"/>
  <c r="G158" s="1"/>
  <c r="BT157"/>
  <c r="BS157"/>
  <c r="BR157"/>
  <c r="BQ157"/>
  <c r="BP157"/>
  <c r="BO157"/>
  <c r="BL157" s="1"/>
  <c r="BN157"/>
  <c r="BM157"/>
  <c r="BK157"/>
  <c r="BJ157"/>
  <c r="BI157"/>
  <c r="BH157"/>
  <c r="BG157"/>
  <c r="BF157"/>
  <c r="BE157"/>
  <c r="BD157"/>
  <c r="BC157"/>
  <c r="BB157"/>
  <c r="AX157"/>
  <c r="AW157"/>
  <c r="AV157"/>
  <c r="AC157"/>
  <c r="G157" s="1"/>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L155" s="1"/>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AX152"/>
  <c r="AW152"/>
  <c r="AV152"/>
  <c r="AC152"/>
  <c r="H152"/>
  <c r="G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L149" s="1"/>
  <c r="BN149"/>
  <c r="BM149"/>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K145"/>
  <c r="BJ145"/>
  <c r="BI145"/>
  <c r="BH145"/>
  <c r="BG145"/>
  <c r="BF145"/>
  <c r="BE145"/>
  <c r="BD145"/>
  <c r="BC145"/>
  <c r="BB145"/>
  <c r="BA145"/>
  <c r="AX145"/>
  <c r="AW145"/>
  <c r="AV145"/>
  <c r="AC145"/>
  <c r="H145"/>
  <c r="G145"/>
  <c r="BT144"/>
  <c r="BS144"/>
  <c r="BR144"/>
  <c r="BQ144"/>
  <c r="BP144"/>
  <c r="BO144"/>
  <c r="BN144"/>
  <c r="BM144"/>
  <c r="BK144"/>
  <c r="BJ144"/>
  <c r="BI144"/>
  <c r="BH144"/>
  <c r="BG144"/>
  <c r="BF144"/>
  <c r="BE144"/>
  <c r="BD144"/>
  <c r="BA144" s="1"/>
  <c r="BC144"/>
  <c r="BB144"/>
  <c r="AX144"/>
  <c r="AW144"/>
  <c r="AV144"/>
  <c r="AC144"/>
  <c r="H144"/>
  <c r="BT143"/>
  <c r="BS143"/>
  <c r="BR143"/>
  <c r="BQ143"/>
  <c r="BP143"/>
  <c r="BO143"/>
  <c r="BN143"/>
  <c r="BM143"/>
  <c r="BK143"/>
  <c r="BJ143"/>
  <c r="BI143"/>
  <c r="BH143"/>
  <c r="BG143"/>
  <c r="BF143"/>
  <c r="BE143"/>
  <c r="BD143"/>
  <c r="BC143"/>
  <c r="BB143"/>
  <c r="AX143"/>
  <c r="AW143"/>
  <c r="AV143"/>
  <c r="AC143"/>
  <c r="G143" s="1"/>
  <c r="H143"/>
  <c r="BT142"/>
  <c r="BS142"/>
  <c r="BR142"/>
  <c r="BQ142"/>
  <c r="BP142"/>
  <c r="BO142"/>
  <c r="BN142"/>
  <c r="BM142"/>
  <c r="BK142"/>
  <c r="BJ142"/>
  <c r="BI142"/>
  <c r="BH142"/>
  <c r="BG142"/>
  <c r="BF142"/>
  <c r="BE142"/>
  <c r="BD142"/>
  <c r="BC142"/>
  <c r="BB142"/>
  <c r="AX142"/>
  <c r="AW142"/>
  <c r="AV142"/>
  <c r="AC142"/>
  <c r="H142"/>
  <c r="G142"/>
  <c r="BT141"/>
  <c r="BS141"/>
  <c r="BR141"/>
  <c r="BQ141"/>
  <c r="BP141"/>
  <c r="BO141"/>
  <c r="BN141"/>
  <c r="BM141"/>
  <c r="BL141" s="1"/>
  <c r="BK141"/>
  <c r="BJ141"/>
  <c r="BI141"/>
  <c r="BH141"/>
  <c r="BA141" s="1"/>
  <c r="BG141"/>
  <c r="BF141"/>
  <c r="BE141"/>
  <c r="BD141"/>
  <c r="BC141"/>
  <c r="BB141"/>
  <c r="AX141"/>
  <c r="AW141"/>
  <c r="AV141"/>
  <c r="AC141"/>
  <c r="G141" s="1"/>
  <c r="H141"/>
  <c r="BT140"/>
  <c r="BS140"/>
  <c r="BR140"/>
  <c r="BQ140"/>
  <c r="BP140"/>
  <c r="BO140"/>
  <c r="BN140"/>
  <c r="BM140"/>
  <c r="BL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K137"/>
  <c r="BJ137"/>
  <c r="BI137"/>
  <c r="BH137"/>
  <c r="BG137"/>
  <c r="BF137"/>
  <c r="BE137"/>
  <c r="BD137"/>
  <c r="BC137"/>
  <c r="BB137"/>
  <c r="BA137" s="1"/>
  <c r="AX137"/>
  <c r="AW137"/>
  <c r="AV137"/>
  <c r="AC137"/>
  <c r="H137"/>
  <c r="G137"/>
  <c r="BT136"/>
  <c r="BS136"/>
  <c r="BR136"/>
  <c r="BQ136"/>
  <c r="BP136"/>
  <c r="BO136"/>
  <c r="BN136"/>
  <c r="BM136"/>
  <c r="BK136"/>
  <c r="BJ136"/>
  <c r="BI136"/>
  <c r="BH136"/>
  <c r="BG136"/>
  <c r="BF136"/>
  <c r="BE136"/>
  <c r="BD136"/>
  <c r="BC136"/>
  <c r="BB136"/>
  <c r="AX136"/>
  <c r="AW136"/>
  <c r="AV136"/>
  <c r="AC136"/>
  <c r="H136"/>
  <c r="BT135"/>
  <c r="BS135"/>
  <c r="BR135"/>
  <c r="BQ135"/>
  <c r="BP135"/>
  <c r="BO135"/>
  <c r="BN135"/>
  <c r="BM135"/>
  <c r="BK135"/>
  <c r="BJ135"/>
  <c r="BI135"/>
  <c r="BH135"/>
  <c r="BG135"/>
  <c r="BF135"/>
  <c r="BE135"/>
  <c r="BD135"/>
  <c r="BC135"/>
  <c r="BB135"/>
  <c r="AX135"/>
  <c r="AW135"/>
  <c r="AV135"/>
  <c r="AC135"/>
  <c r="G135" s="1"/>
  <c r="H135"/>
  <c r="BT134"/>
  <c r="BS134"/>
  <c r="BR134"/>
  <c r="BQ134"/>
  <c r="BP134"/>
  <c r="BO134"/>
  <c r="BN134"/>
  <c r="BM134"/>
  <c r="BK134"/>
  <c r="BJ134"/>
  <c r="BI134"/>
  <c r="BH134"/>
  <c r="BG134"/>
  <c r="BF134"/>
  <c r="BE134"/>
  <c r="BD134"/>
  <c r="BC134"/>
  <c r="BB134"/>
  <c r="AX134"/>
  <c r="AW134"/>
  <c r="AV134"/>
  <c r="AC134"/>
  <c r="H134"/>
  <c r="G134"/>
  <c r="BT133"/>
  <c r="BS133"/>
  <c r="BR133"/>
  <c r="BQ133"/>
  <c r="BP133"/>
  <c r="BO133"/>
  <c r="BN133"/>
  <c r="BM133"/>
  <c r="BK133"/>
  <c r="BJ133"/>
  <c r="BI133"/>
  <c r="BH133"/>
  <c r="BG133"/>
  <c r="BF133"/>
  <c r="BE133"/>
  <c r="BD133"/>
  <c r="BC133"/>
  <c r="BB133"/>
  <c r="AX133"/>
  <c r="AW133"/>
  <c r="AV133"/>
  <c r="AC133"/>
  <c r="G133" s="1"/>
  <c r="H133"/>
  <c r="BT132"/>
  <c r="BS132"/>
  <c r="BR132"/>
  <c r="BQ132"/>
  <c r="BP132"/>
  <c r="BO132"/>
  <c r="BN132"/>
  <c r="BM132"/>
  <c r="BL132"/>
  <c r="BK132"/>
  <c r="BJ132"/>
  <c r="BI132"/>
  <c r="BH132"/>
  <c r="BG132"/>
  <c r="BF132"/>
  <c r="BE132"/>
  <c r="BD132"/>
  <c r="BC132"/>
  <c r="BA132" s="1"/>
  <c r="AZ132" s="1"/>
  <c r="BB132"/>
  <c r="AX132"/>
  <c r="AW132"/>
  <c r="AV132"/>
  <c r="AC132"/>
  <c r="H132"/>
  <c r="BT131"/>
  <c r="BS131"/>
  <c r="BR131"/>
  <c r="BQ131"/>
  <c r="BP131"/>
  <c r="BO131"/>
  <c r="BN131"/>
  <c r="BM131"/>
  <c r="BK131"/>
  <c r="BJ131"/>
  <c r="BI131"/>
  <c r="BH131"/>
  <c r="BG131"/>
  <c r="BF131"/>
  <c r="BE131"/>
  <c r="BD131"/>
  <c r="BC131"/>
  <c r="BB131"/>
  <c r="BA131"/>
  <c r="AX131"/>
  <c r="AW131"/>
  <c r="AV131"/>
  <c r="AC131"/>
  <c r="H131"/>
  <c r="G131" s="1"/>
  <c r="BT130"/>
  <c r="BS130"/>
  <c r="BR130"/>
  <c r="BQ130"/>
  <c r="BP130"/>
  <c r="BO130"/>
  <c r="BN130"/>
  <c r="BM130"/>
  <c r="BK130"/>
  <c r="BJ130"/>
  <c r="BI130"/>
  <c r="BH130"/>
  <c r="BG130"/>
  <c r="BF130"/>
  <c r="BE130"/>
  <c r="BD130"/>
  <c r="BC130"/>
  <c r="BB130"/>
  <c r="AX130"/>
  <c r="AW130"/>
  <c r="AV130"/>
  <c r="AC130"/>
  <c r="H130"/>
  <c r="G130"/>
  <c r="BT129"/>
  <c r="BS129"/>
  <c r="BR129"/>
  <c r="BQ129"/>
  <c r="BP129"/>
  <c r="BO129"/>
  <c r="BN129"/>
  <c r="BM129"/>
  <c r="BK129"/>
  <c r="BJ129"/>
  <c r="BI129"/>
  <c r="BH129"/>
  <c r="BG129"/>
  <c r="BF129"/>
  <c r="BE129"/>
  <c r="BD129"/>
  <c r="BC129"/>
  <c r="BA129" s="1"/>
  <c r="BB129"/>
  <c r="AX129"/>
  <c r="AW129"/>
  <c r="AV129"/>
  <c r="AC129"/>
  <c r="H129"/>
  <c r="G129" s="1"/>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AX126"/>
  <c r="AW126"/>
  <c r="AV126"/>
  <c r="AC126"/>
  <c r="H126"/>
  <c r="BT125"/>
  <c r="BS125"/>
  <c r="BR125"/>
  <c r="BQ125"/>
  <c r="BP125"/>
  <c r="BO125"/>
  <c r="BN125"/>
  <c r="BL125" s="1"/>
  <c r="BM125"/>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K122"/>
  <c r="BJ122"/>
  <c r="BI122"/>
  <c r="BH122"/>
  <c r="BG122"/>
  <c r="BF122"/>
  <c r="BE122"/>
  <c r="BD122"/>
  <c r="BC122"/>
  <c r="BB122"/>
  <c r="AX122"/>
  <c r="AW122"/>
  <c r="AV122"/>
  <c r="AC122"/>
  <c r="H122"/>
  <c r="G122"/>
  <c r="BT121"/>
  <c r="BS121"/>
  <c r="BR121"/>
  <c r="BQ121"/>
  <c r="BP121"/>
  <c r="BO121"/>
  <c r="BN121"/>
  <c r="BM121"/>
  <c r="BK121"/>
  <c r="BJ121"/>
  <c r="BI121"/>
  <c r="BH121"/>
  <c r="BG121"/>
  <c r="BF121"/>
  <c r="BE121"/>
  <c r="BD121"/>
  <c r="BA121" s="1"/>
  <c r="BC121"/>
  <c r="BB121"/>
  <c r="AX121"/>
  <c r="AW121"/>
  <c r="AV121"/>
  <c r="AC121"/>
  <c r="H121"/>
  <c r="G121" s="1"/>
  <c r="BT120"/>
  <c r="BS120"/>
  <c r="BR120"/>
  <c r="BQ120"/>
  <c r="BP120"/>
  <c r="BO120"/>
  <c r="BN120"/>
  <c r="BM120"/>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L117" s="1"/>
  <c r="BM117"/>
  <c r="BK117"/>
  <c r="BJ117"/>
  <c r="BI117"/>
  <c r="BH117"/>
  <c r="BG117"/>
  <c r="BF117"/>
  <c r="BE117"/>
  <c r="BD117"/>
  <c r="BC117"/>
  <c r="BB117"/>
  <c r="BA117" s="1"/>
  <c r="AX117"/>
  <c r="AW117"/>
  <c r="AV117"/>
  <c r="AC117"/>
  <c r="H117"/>
  <c r="G117" s="1"/>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K113"/>
  <c r="BJ113"/>
  <c r="BI113"/>
  <c r="BH113"/>
  <c r="BG113"/>
  <c r="BF113"/>
  <c r="BE113"/>
  <c r="BD113"/>
  <c r="BC113"/>
  <c r="BB113"/>
  <c r="AX113"/>
  <c r="AW113"/>
  <c r="AV113"/>
  <c r="AC113"/>
  <c r="H113"/>
  <c r="G113"/>
  <c r="BT296"/>
  <c r="BS296"/>
  <c r="BR296"/>
  <c r="BQ296"/>
  <c r="BP296"/>
  <c r="BO296"/>
  <c r="BN296"/>
  <c r="BM296"/>
  <c r="BK296"/>
  <c r="BJ296"/>
  <c r="BI296"/>
  <c r="BH296"/>
  <c r="BA296" s="1"/>
  <c r="BG296"/>
  <c r="BF296"/>
  <c r="BE296"/>
  <c r="BD296"/>
  <c r="BC296"/>
  <c r="BB296"/>
  <c r="AX296"/>
  <c r="AW296"/>
  <c r="AV296"/>
  <c r="AC296"/>
  <c r="G296" s="1"/>
  <c r="H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BA294" s="1"/>
  <c r="AZ294" s="1"/>
  <c r="AX294"/>
  <c r="AW294"/>
  <c r="AV294"/>
  <c r="AC294"/>
  <c r="H294"/>
  <c r="G294"/>
  <c r="BT293"/>
  <c r="BS293"/>
  <c r="BR293"/>
  <c r="BQ293"/>
  <c r="BP293"/>
  <c r="BO293"/>
  <c r="BN293"/>
  <c r="BM293"/>
  <c r="BK293"/>
  <c r="BJ293"/>
  <c r="BI293"/>
  <c r="BH293"/>
  <c r="BG293"/>
  <c r="BF293"/>
  <c r="BE293"/>
  <c r="BD293"/>
  <c r="BA293" s="1"/>
  <c r="BC293"/>
  <c r="BB293"/>
  <c r="AX293"/>
  <c r="AW293"/>
  <c r="AV293"/>
  <c r="AC293"/>
  <c r="G293" s="1"/>
  <c r="H293"/>
  <c r="BT292"/>
  <c r="BS292"/>
  <c r="BL292" s="1"/>
  <c r="BR292"/>
  <c r="BQ292"/>
  <c r="BP292"/>
  <c r="BO292"/>
  <c r="BN292"/>
  <c r="BM292"/>
  <c r="BK292"/>
  <c r="BJ292"/>
  <c r="BI292"/>
  <c r="BH292"/>
  <c r="BG292"/>
  <c r="BF292"/>
  <c r="BE292"/>
  <c r="BD292"/>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L289" s="1"/>
  <c r="BM289"/>
  <c r="BK289"/>
  <c r="BJ289"/>
  <c r="BI289"/>
  <c r="BH289"/>
  <c r="BG289"/>
  <c r="BF289"/>
  <c r="BE289"/>
  <c r="BD289"/>
  <c r="BC289"/>
  <c r="BB289"/>
  <c r="AX289"/>
  <c r="AW289"/>
  <c r="AV289"/>
  <c r="AC289"/>
  <c r="H289"/>
  <c r="G289"/>
  <c r="BT288"/>
  <c r="BS288"/>
  <c r="BR288"/>
  <c r="BQ288"/>
  <c r="BP288"/>
  <c r="BO288"/>
  <c r="BN288"/>
  <c r="BM288"/>
  <c r="BK288"/>
  <c r="BJ288"/>
  <c r="BI288"/>
  <c r="BH288"/>
  <c r="BG288"/>
  <c r="BF288"/>
  <c r="BE288"/>
  <c r="BD288"/>
  <c r="BA288" s="1"/>
  <c r="BC288"/>
  <c r="BB288"/>
  <c r="AX288"/>
  <c r="AW288"/>
  <c r="AV288"/>
  <c r="AC288"/>
  <c r="G288" s="1"/>
  <c r="H288"/>
  <c r="BT287"/>
  <c r="BS287"/>
  <c r="BL287" s="1"/>
  <c r="BR287"/>
  <c r="BQ287"/>
  <c r="BP287"/>
  <c r="BO287"/>
  <c r="BN287"/>
  <c r="BM287"/>
  <c r="BK287"/>
  <c r="BJ287"/>
  <c r="BI287"/>
  <c r="BH287"/>
  <c r="BG287"/>
  <c r="BF287"/>
  <c r="BE287"/>
  <c r="BD287"/>
  <c r="BC287"/>
  <c r="BB287"/>
  <c r="AX287"/>
  <c r="AW287"/>
  <c r="AV287"/>
  <c r="AC287"/>
  <c r="H287"/>
  <c r="BT286"/>
  <c r="BS286"/>
  <c r="BR286"/>
  <c r="BQ286"/>
  <c r="BP286"/>
  <c r="BO286"/>
  <c r="BN286"/>
  <c r="BL286" s="1"/>
  <c r="BM286"/>
  <c r="BK286"/>
  <c r="BJ286"/>
  <c r="BI286"/>
  <c r="BH286"/>
  <c r="BG286"/>
  <c r="BF286"/>
  <c r="BE286"/>
  <c r="BD286"/>
  <c r="BC286"/>
  <c r="BB286"/>
  <c r="BA286" s="1"/>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L284" s="1"/>
  <c r="BN284"/>
  <c r="BM284"/>
  <c r="BK284"/>
  <c r="BJ284"/>
  <c r="BI284"/>
  <c r="BH284"/>
  <c r="BG284"/>
  <c r="BF284"/>
  <c r="BE284"/>
  <c r="BD284"/>
  <c r="BC284"/>
  <c r="BB284"/>
  <c r="AX284"/>
  <c r="AW284"/>
  <c r="AV284"/>
  <c r="AC284"/>
  <c r="H284"/>
  <c r="G284" s="1"/>
  <c r="BT283"/>
  <c r="BS283"/>
  <c r="BR283"/>
  <c r="BQ283"/>
  <c r="BP283"/>
  <c r="BO283"/>
  <c r="BN283"/>
  <c r="BM283"/>
  <c r="BK283"/>
  <c r="BJ283"/>
  <c r="BI283"/>
  <c r="BH283"/>
  <c r="BG283"/>
  <c r="BF283"/>
  <c r="BE283"/>
  <c r="BD283"/>
  <c r="BC283"/>
  <c r="BB283"/>
  <c r="AX283"/>
  <c r="AW283"/>
  <c r="AV283"/>
  <c r="AC283"/>
  <c r="H283"/>
  <c r="G283"/>
  <c r="BT282"/>
  <c r="BS282"/>
  <c r="BR282"/>
  <c r="BQ282"/>
  <c r="BP282"/>
  <c r="BO282"/>
  <c r="BN282"/>
  <c r="BM282"/>
  <c r="BK282"/>
  <c r="BJ282"/>
  <c r="BI282"/>
  <c r="BH282"/>
  <c r="BA282" s="1"/>
  <c r="BG282"/>
  <c r="BF282"/>
  <c r="BE282"/>
  <c r="BD282"/>
  <c r="BC282"/>
  <c r="BB282"/>
  <c r="AX282"/>
  <c r="AW282"/>
  <c r="AV282"/>
  <c r="AC282"/>
  <c r="H282"/>
  <c r="BT281"/>
  <c r="BS281"/>
  <c r="BR281"/>
  <c r="BQ281"/>
  <c r="BP281"/>
  <c r="BO281"/>
  <c r="BN281"/>
  <c r="BL281" s="1"/>
  <c r="BM281"/>
  <c r="BK281"/>
  <c r="BJ281"/>
  <c r="BI281"/>
  <c r="BH281"/>
  <c r="BG281"/>
  <c r="BF281"/>
  <c r="BE281"/>
  <c r="BD281"/>
  <c r="BC281"/>
  <c r="BB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K279"/>
  <c r="BJ279"/>
  <c r="BI279"/>
  <c r="BH279"/>
  <c r="BG279"/>
  <c r="BF279"/>
  <c r="BE279"/>
  <c r="BD279"/>
  <c r="BC279"/>
  <c r="BA279" s="1"/>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A277" s="1"/>
  <c r="BG277"/>
  <c r="BF277"/>
  <c r="BE277"/>
  <c r="BD277"/>
  <c r="BC277"/>
  <c r="BB277"/>
  <c r="AX277"/>
  <c r="AW277"/>
  <c r="AV277"/>
  <c r="AC277"/>
  <c r="G277" s="1"/>
  <c r="H277"/>
  <c r="BT276"/>
  <c r="BS276"/>
  <c r="BR276"/>
  <c r="BQ276"/>
  <c r="BP276"/>
  <c r="BO276"/>
  <c r="BN276"/>
  <c r="BM276"/>
  <c r="BL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G273"/>
  <c r="BT272"/>
  <c r="BS272"/>
  <c r="BR272"/>
  <c r="BQ272"/>
  <c r="BP272"/>
  <c r="BO272"/>
  <c r="BN272"/>
  <c r="BM272"/>
  <c r="BK272"/>
  <c r="BJ272"/>
  <c r="BI272"/>
  <c r="BH272"/>
  <c r="BG272"/>
  <c r="BF272"/>
  <c r="BE272"/>
  <c r="BD272"/>
  <c r="BC272"/>
  <c r="BB272"/>
  <c r="AX272"/>
  <c r="AW272"/>
  <c r="AV272"/>
  <c r="AC272"/>
  <c r="G272" s="1"/>
  <c r="H272"/>
  <c r="BT271"/>
  <c r="BS271"/>
  <c r="BR271"/>
  <c r="BQ271"/>
  <c r="BP271"/>
  <c r="BO271"/>
  <c r="BN271"/>
  <c r="BM271"/>
  <c r="BL271"/>
  <c r="BK271"/>
  <c r="BJ271"/>
  <c r="BI271"/>
  <c r="BH271"/>
  <c r="BG271"/>
  <c r="BF271"/>
  <c r="BE271"/>
  <c r="BD271"/>
  <c r="BC271"/>
  <c r="BB271"/>
  <c r="AX271"/>
  <c r="AW271"/>
  <c r="AV271"/>
  <c r="AC271"/>
  <c r="H271"/>
  <c r="G271" s="1"/>
  <c r="BT270"/>
  <c r="BS270"/>
  <c r="BR270"/>
  <c r="BQ270"/>
  <c r="BP270"/>
  <c r="BO270"/>
  <c r="BN270"/>
  <c r="BL270" s="1"/>
  <c r="BM270"/>
  <c r="BK270"/>
  <c r="BJ270"/>
  <c r="BI270"/>
  <c r="BH270"/>
  <c r="BG270"/>
  <c r="BF270"/>
  <c r="BE270"/>
  <c r="BD270"/>
  <c r="BC270"/>
  <c r="BB270"/>
  <c r="BA270" s="1"/>
  <c r="AX270"/>
  <c r="AW270"/>
  <c r="AV270"/>
  <c r="AC270"/>
  <c r="H270"/>
  <c r="G270"/>
  <c r="BT269"/>
  <c r="BS269"/>
  <c r="BR269"/>
  <c r="BQ269"/>
  <c r="BP269"/>
  <c r="BO269"/>
  <c r="BN269"/>
  <c r="BM269"/>
  <c r="BK269"/>
  <c r="BJ269"/>
  <c r="BI269"/>
  <c r="BH269"/>
  <c r="BG269"/>
  <c r="BF269"/>
  <c r="BE269"/>
  <c r="BD269"/>
  <c r="BA269" s="1"/>
  <c r="BC269"/>
  <c r="BB269"/>
  <c r="AX269"/>
  <c r="AW269"/>
  <c r="AV269"/>
  <c r="AC269"/>
  <c r="G269" s="1"/>
  <c r="H269"/>
  <c r="BT268"/>
  <c r="BS268"/>
  <c r="BL268" s="1"/>
  <c r="BR268"/>
  <c r="BQ268"/>
  <c r="BP268"/>
  <c r="BO268"/>
  <c r="BN268"/>
  <c r="BM268"/>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K265"/>
  <c r="BJ265"/>
  <c r="BI265"/>
  <c r="BH265"/>
  <c r="BG265"/>
  <c r="BF265"/>
  <c r="BE265"/>
  <c r="BD265"/>
  <c r="BC265"/>
  <c r="BA265" s="1"/>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c r="BT263"/>
  <c r="BS263"/>
  <c r="BR263"/>
  <c r="BQ263"/>
  <c r="BP263"/>
  <c r="BO263"/>
  <c r="BN263"/>
  <c r="BM263"/>
  <c r="BL263" s="1"/>
  <c r="BK263"/>
  <c r="BJ263"/>
  <c r="BI263"/>
  <c r="BH263"/>
  <c r="BA263" s="1"/>
  <c r="BG263"/>
  <c r="BF263"/>
  <c r="BE263"/>
  <c r="BD263"/>
  <c r="BC263"/>
  <c r="BB263"/>
  <c r="AX263"/>
  <c r="AW263"/>
  <c r="AV263"/>
  <c r="AC263"/>
  <c r="H263"/>
  <c r="BT262"/>
  <c r="BS262"/>
  <c r="BR262"/>
  <c r="BQ262"/>
  <c r="BP262"/>
  <c r="BO262"/>
  <c r="BN262"/>
  <c r="BL262" s="1"/>
  <c r="BM262"/>
  <c r="BK262"/>
  <c r="BJ262"/>
  <c r="BI262"/>
  <c r="BH262"/>
  <c r="BG262"/>
  <c r="BF262"/>
  <c r="BE262"/>
  <c r="BD262"/>
  <c r="BC262"/>
  <c r="BB262"/>
  <c r="AX262"/>
  <c r="AW262"/>
  <c r="AV262"/>
  <c r="AC262"/>
  <c r="H262"/>
  <c r="G262" s="1"/>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L260" s="1"/>
  <c r="BN260"/>
  <c r="BM260"/>
  <c r="BK260"/>
  <c r="BJ260"/>
  <c r="BI260"/>
  <c r="BH260"/>
  <c r="BG260"/>
  <c r="BF260"/>
  <c r="BE260"/>
  <c r="BD260"/>
  <c r="BC260"/>
  <c r="BB260"/>
  <c r="AX260"/>
  <c r="AW260"/>
  <c r="AV260"/>
  <c r="AC260"/>
  <c r="H260"/>
  <c r="G260" s="1"/>
  <c r="BT259"/>
  <c r="BS259"/>
  <c r="BR259"/>
  <c r="BQ259"/>
  <c r="BP259"/>
  <c r="BO259"/>
  <c r="BN259"/>
  <c r="BM259"/>
  <c r="BL259" s="1"/>
  <c r="BK259"/>
  <c r="BJ259"/>
  <c r="BI259"/>
  <c r="BH259"/>
  <c r="BG259"/>
  <c r="BF259"/>
  <c r="BE259"/>
  <c r="BD259"/>
  <c r="BC259"/>
  <c r="BB259"/>
  <c r="AX259"/>
  <c r="AW259"/>
  <c r="AV259"/>
  <c r="AC259"/>
  <c r="H259"/>
  <c r="G259"/>
  <c r="BT258"/>
  <c r="BS258"/>
  <c r="BR258"/>
  <c r="BQ258"/>
  <c r="BP258"/>
  <c r="BO258"/>
  <c r="BN258"/>
  <c r="BM258"/>
  <c r="BL258" s="1"/>
  <c r="BK258"/>
  <c r="BJ258"/>
  <c r="BI258"/>
  <c r="BH258"/>
  <c r="BG258"/>
  <c r="BF258"/>
  <c r="BE258"/>
  <c r="BD258"/>
  <c r="BC258"/>
  <c r="BB258"/>
  <c r="AX258"/>
  <c r="AW258"/>
  <c r="AV258"/>
  <c r="AC258"/>
  <c r="G258" s="1"/>
  <c r="H258"/>
  <c r="BT257"/>
  <c r="BS257"/>
  <c r="BR257"/>
  <c r="BQ257"/>
  <c r="BP257"/>
  <c r="BO257"/>
  <c r="BN257"/>
  <c r="BM257"/>
  <c r="BL257"/>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BA256" s="1"/>
  <c r="AZ256" s="1"/>
  <c r="AX256"/>
  <c r="AW256"/>
  <c r="AV256"/>
  <c r="AC256"/>
  <c r="H256"/>
  <c r="G256"/>
  <c r="BT255"/>
  <c r="BS255"/>
  <c r="BR255"/>
  <c r="BQ255"/>
  <c r="BP255"/>
  <c r="BO255"/>
  <c r="BN255"/>
  <c r="BM255"/>
  <c r="BK255"/>
  <c r="BJ255"/>
  <c r="BI255"/>
  <c r="BH255"/>
  <c r="BG255"/>
  <c r="BF255"/>
  <c r="BE255"/>
  <c r="BD255"/>
  <c r="BC255"/>
  <c r="BB255"/>
  <c r="AX255"/>
  <c r="AW255"/>
  <c r="AV255"/>
  <c r="AC255"/>
  <c r="H255"/>
  <c r="BT254"/>
  <c r="BS254"/>
  <c r="BR254"/>
  <c r="BQ254"/>
  <c r="BP254"/>
  <c r="BO254"/>
  <c r="BL254" s="1"/>
  <c r="BN254"/>
  <c r="BM254"/>
  <c r="BK254"/>
  <c r="BJ254"/>
  <c r="BI254"/>
  <c r="BH254"/>
  <c r="BG254"/>
  <c r="BF254"/>
  <c r="BE254"/>
  <c r="BD254"/>
  <c r="BC254"/>
  <c r="BB254"/>
  <c r="BA254" s="1"/>
  <c r="AZ254" s="1"/>
  <c r="AX254"/>
  <c r="AW254"/>
  <c r="AV254"/>
  <c r="AC254"/>
  <c r="H254"/>
  <c r="G254" s="1"/>
  <c r="BT253"/>
  <c r="BS253"/>
  <c r="BR253"/>
  <c r="BQ253"/>
  <c r="BP253"/>
  <c r="BO253"/>
  <c r="BN253"/>
  <c r="BM253"/>
  <c r="BL253" s="1"/>
  <c r="BK253"/>
  <c r="BJ253"/>
  <c r="BI253"/>
  <c r="BH253"/>
  <c r="BG253"/>
  <c r="BF253"/>
  <c r="BE253"/>
  <c r="BD253"/>
  <c r="BC253"/>
  <c r="BB253"/>
  <c r="AX253"/>
  <c r="AW253"/>
  <c r="AV253"/>
  <c r="AC253"/>
  <c r="G253" s="1"/>
  <c r="H253"/>
  <c r="BT252"/>
  <c r="BS252"/>
  <c r="BR252"/>
  <c r="BQ252"/>
  <c r="BP252"/>
  <c r="BO252"/>
  <c r="BN252"/>
  <c r="BM252"/>
  <c r="BL252"/>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AX250"/>
  <c r="AW250"/>
  <c r="AV250"/>
  <c r="AC250"/>
  <c r="G250" s="1"/>
  <c r="H250"/>
  <c r="BT249"/>
  <c r="BS249"/>
  <c r="BR249"/>
  <c r="BQ249"/>
  <c r="BP249"/>
  <c r="BO249"/>
  <c r="BN249"/>
  <c r="BM249"/>
  <c r="BL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A248" s="1"/>
  <c r="AZ248" s="1"/>
  <c r="BE248"/>
  <c r="BD248"/>
  <c r="BC248"/>
  <c r="BB248"/>
  <c r="AX248"/>
  <c r="AW248"/>
  <c r="AV248"/>
  <c r="AC248"/>
  <c r="H248"/>
  <c r="G248"/>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G245" s="1"/>
  <c r="H245"/>
  <c r="BT244"/>
  <c r="BS244"/>
  <c r="BR244"/>
  <c r="BQ244"/>
  <c r="BP244"/>
  <c r="BO244"/>
  <c r="BN244"/>
  <c r="BM244"/>
  <c r="BL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L242" s="1"/>
  <c r="BM242"/>
  <c r="BK242"/>
  <c r="BJ242"/>
  <c r="BI242"/>
  <c r="BH242"/>
  <c r="BG242"/>
  <c r="BF242"/>
  <c r="BE242"/>
  <c r="BD242"/>
  <c r="BC242"/>
  <c r="BB242"/>
  <c r="BA242" s="1"/>
  <c r="AZ242" s="1"/>
  <c r="AX242"/>
  <c r="AW242"/>
  <c r="AV242"/>
  <c r="AC242"/>
  <c r="H242"/>
  <c r="G242"/>
  <c r="BT241"/>
  <c r="BS241"/>
  <c r="BR241"/>
  <c r="BQ241"/>
  <c r="BP241"/>
  <c r="BO241"/>
  <c r="BL241" s="1"/>
  <c r="BN241"/>
  <c r="BM241"/>
  <c r="BK241"/>
  <c r="BJ241"/>
  <c r="BI241"/>
  <c r="BH241"/>
  <c r="BG241"/>
  <c r="BF241"/>
  <c r="BE241"/>
  <c r="BD241"/>
  <c r="BC241"/>
  <c r="BB241"/>
  <c r="AX241"/>
  <c r="AW241"/>
  <c r="AV241"/>
  <c r="AC241"/>
  <c r="H241"/>
  <c r="G241"/>
  <c r="BT240"/>
  <c r="BS240"/>
  <c r="BR240"/>
  <c r="BQ240"/>
  <c r="BP240"/>
  <c r="BO240"/>
  <c r="BN240"/>
  <c r="BM240"/>
  <c r="BK240"/>
  <c r="BJ240"/>
  <c r="BI240"/>
  <c r="BH240"/>
  <c r="BG240"/>
  <c r="BF240"/>
  <c r="BE240"/>
  <c r="BD240"/>
  <c r="BC240"/>
  <c r="BB240"/>
  <c r="AX240"/>
  <c r="AW240"/>
  <c r="AV240"/>
  <c r="AC240"/>
  <c r="H240"/>
  <c r="G240"/>
  <c r="BT239"/>
  <c r="BS239"/>
  <c r="BR239"/>
  <c r="BQ239"/>
  <c r="BP239"/>
  <c r="BO239"/>
  <c r="BN239"/>
  <c r="BM239"/>
  <c r="BL239"/>
  <c r="BK239"/>
  <c r="BJ239"/>
  <c r="BI239"/>
  <c r="BH239"/>
  <c r="BG239"/>
  <c r="BF239"/>
  <c r="BE239"/>
  <c r="BA239" s="1"/>
  <c r="BD239"/>
  <c r="BC239"/>
  <c r="BB239"/>
  <c r="AX239"/>
  <c r="AW239"/>
  <c r="AV239"/>
  <c r="AC239"/>
  <c r="H239"/>
  <c r="BT238"/>
  <c r="BS238"/>
  <c r="BL238" s="1"/>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A237" s="1"/>
  <c r="BI237"/>
  <c r="BH237"/>
  <c r="BG237"/>
  <c r="BF237"/>
  <c r="BE237"/>
  <c r="BD237"/>
  <c r="BC237"/>
  <c r="BB237"/>
  <c r="AX237"/>
  <c r="AW237"/>
  <c r="AV237"/>
  <c r="AC237"/>
  <c r="H237"/>
  <c r="G237"/>
  <c r="BT236"/>
  <c r="BS236"/>
  <c r="BR236"/>
  <c r="BQ236"/>
  <c r="BP236"/>
  <c r="BO236"/>
  <c r="BN236"/>
  <c r="BM236"/>
  <c r="BL236"/>
  <c r="BK236"/>
  <c r="BJ236"/>
  <c r="BI236"/>
  <c r="BH236"/>
  <c r="BG236"/>
  <c r="BF236"/>
  <c r="BE236"/>
  <c r="BD236"/>
  <c r="BC236"/>
  <c r="BA236" s="1"/>
  <c r="BB236"/>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L234"/>
  <c r="AZ234" s="1"/>
  <c r="BK234"/>
  <c r="BJ234"/>
  <c r="BI234"/>
  <c r="BH234"/>
  <c r="BG234"/>
  <c r="BF234"/>
  <c r="BE234"/>
  <c r="BD234"/>
  <c r="BC234"/>
  <c r="BB234"/>
  <c r="BA234" s="1"/>
  <c r="AX234"/>
  <c r="AW234"/>
  <c r="AV234"/>
  <c r="AC234"/>
  <c r="G234" s="1"/>
  <c r="H234"/>
  <c r="BT233"/>
  <c r="BS233"/>
  <c r="BR233"/>
  <c r="BQ233"/>
  <c r="BP233"/>
  <c r="BO233"/>
  <c r="BN233"/>
  <c r="BM233"/>
  <c r="BL233" s="1"/>
  <c r="BK233"/>
  <c r="BJ233"/>
  <c r="BI233"/>
  <c r="BH233"/>
  <c r="BG233"/>
  <c r="BF233"/>
  <c r="BE233"/>
  <c r="BD233"/>
  <c r="BC233"/>
  <c r="BA233" s="1"/>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BA231" s="1"/>
  <c r="AX231"/>
  <c r="AW231"/>
  <c r="AV231"/>
  <c r="AC231"/>
  <c r="H231"/>
  <c r="BT230"/>
  <c r="BS230"/>
  <c r="BR230"/>
  <c r="BQ230"/>
  <c r="BP230"/>
  <c r="BO230"/>
  <c r="BL230" s="1"/>
  <c r="BN230"/>
  <c r="BM230"/>
  <c r="BK230"/>
  <c r="BJ230"/>
  <c r="BI230"/>
  <c r="BH230"/>
  <c r="BG230"/>
  <c r="BF230"/>
  <c r="BE230"/>
  <c r="BD230"/>
  <c r="BC230"/>
  <c r="BB230"/>
  <c r="AX230"/>
  <c r="AW230"/>
  <c r="AV230"/>
  <c r="AC230"/>
  <c r="H230"/>
  <c r="G230"/>
  <c r="BT229"/>
  <c r="BS229"/>
  <c r="BR229"/>
  <c r="BQ229"/>
  <c r="BP229"/>
  <c r="BO229"/>
  <c r="BN229"/>
  <c r="BM229"/>
  <c r="BK229"/>
  <c r="BJ229"/>
  <c r="BI229"/>
  <c r="BH229"/>
  <c r="BG229"/>
  <c r="BF229"/>
  <c r="BE229"/>
  <c r="BD229"/>
  <c r="BC229"/>
  <c r="BB229"/>
  <c r="BA229" s="1"/>
  <c r="AX229"/>
  <c r="AW229"/>
  <c r="AV229"/>
  <c r="AC229"/>
  <c r="G229" s="1"/>
  <c r="H229"/>
  <c r="BT228"/>
  <c r="BS228"/>
  <c r="BR228"/>
  <c r="BQ228"/>
  <c r="BP228"/>
  <c r="BO228"/>
  <c r="BN228"/>
  <c r="BM228"/>
  <c r="BL228" s="1"/>
  <c r="BK228"/>
  <c r="BJ228"/>
  <c r="BI228"/>
  <c r="BH228"/>
  <c r="BA228" s="1"/>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s="1"/>
  <c r="BT226"/>
  <c r="BS226"/>
  <c r="BR226"/>
  <c r="BQ226"/>
  <c r="BP226"/>
  <c r="BO226"/>
  <c r="BN226"/>
  <c r="BM226"/>
  <c r="BL226" s="1"/>
  <c r="BK226"/>
  <c r="BJ226"/>
  <c r="BI226"/>
  <c r="BH226"/>
  <c r="BG226"/>
  <c r="BF226"/>
  <c r="BE226"/>
  <c r="BD226"/>
  <c r="BC226"/>
  <c r="BB226"/>
  <c r="AX226"/>
  <c r="AW226"/>
  <c r="AV226"/>
  <c r="AC226"/>
  <c r="G226" s="1"/>
  <c r="H226"/>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L222" s="1"/>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G221"/>
  <c r="BT220"/>
  <c r="BS220"/>
  <c r="BR220"/>
  <c r="BQ220"/>
  <c r="BP220"/>
  <c r="BO220"/>
  <c r="BN220"/>
  <c r="BM220"/>
  <c r="BL220" s="1"/>
  <c r="BK220"/>
  <c r="BJ220"/>
  <c r="BI220"/>
  <c r="BH220"/>
  <c r="BG220"/>
  <c r="BF220"/>
  <c r="BE220"/>
  <c r="BD220"/>
  <c r="BC220"/>
  <c r="BB220"/>
  <c r="AX220"/>
  <c r="AW220"/>
  <c r="AV220"/>
  <c r="AC220"/>
  <c r="H220"/>
  <c r="G220" s="1"/>
  <c r="BT219"/>
  <c r="BS219"/>
  <c r="BL219" s="1"/>
  <c r="BR219"/>
  <c r="BQ219"/>
  <c r="BP219"/>
  <c r="BO219"/>
  <c r="BN219"/>
  <c r="BM219"/>
  <c r="BK219"/>
  <c r="BJ219"/>
  <c r="BI219"/>
  <c r="BH219"/>
  <c r="BG219"/>
  <c r="BF219"/>
  <c r="BE219"/>
  <c r="BD219"/>
  <c r="BC219"/>
  <c r="BB219"/>
  <c r="AX219"/>
  <c r="AW219"/>
  <c r="AV219"/>
  <c r="AC219"/>
  <c r="H219"/>
  <c r="G219" s="1"/>
  <c r="BT218"/>
  <c r="BS218"/>
  <c r="BR218"/>
  <c r="BQ218"/>
  <c r="BP218"/>
  <c r="BO218"/>
  <c r="BN218"/>
  <c r="BM218"/>
  <c r="BL218" s="1"/>
  <c r="BK218"/>
  <c r="BJ218"/>
  <c r="BI218"/>
  <c r="BH218"/>
  <c r="BG218"/>
  <c r="BF218"/>
  <c r="BE218"/>
  <c r="BD218"/>
  <c r="BC218"/>
  <c r="BA218" s="1"/>
  <c r="AZ218" s="1"/>
  <c r="BB218"/>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s="1"/>
  <c r="BT216"/>
  <c r="BS216"/>
  <c r="BR216"/>
  <c r="BQ216"/>
  <c r="BP216"/>
  <c r="BO216"/>
  <c r="BN216"/>
  <c r="BM216"/>
  <c r="BK216"/>
  <c r="BJ216"/>
  <c r="BI216"/>
  <c r="BH216"/>
  <c r="BG216"/>
  <c r="BF216"/>
  <c r="BE216"/>
  <c r="BD216"/>
  <c r="BC216"/>
  <c r="BB216"/>
  <c r="BA216" s="1"/>
  <c r="AX216"/>
  <c r="AW216"/>
  <c r="AV216"/>
  <c r="AC216"/>
  <c r="H216"/>
  <c r="G216" s="1"/>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L214" s="1"/>
  <c r="BK214"/>
  <c r="BJ214"/>
  <c r="BA214" s="1"/>
  <c r="AZ214" s="1"/>
  <c r="BI214"/>
  <c r="BH214"/>
  <c r="BG214"/>
  <c r="BF214"/>
  <c r="BE214"/>
  <c r="BD214"/>
  <c r="BC214"/>
  <c r="BB214"/>
  <c r="AX214"/>
  <c r="AW214"/>
  <c r="AV214"/>
  <c r="AC214"/>
  <c r="H214"/>
  <c r="BT213"/>
  <c r="BS213"/>
  <c r="BL213" s="1"/>
  <c r="BR213"/>
  <c r="BQ213"/>
  <c r="BP213"/>
  <c r="BO213"/>
  <c r="BN213"/>
  <c r="BM213"/>
  <c r="BK213"/>
  <c r="BJ213"/>
  <c r="BI213"/>
  <c r="BH213"/>
  <c r="BG213"/>
  <c r="BF213"/>
  <c r="BE213"/>
  <c r="BD213"/>
  <c r="BC213"/>
  <c r="BB213"/>
  <c r="BA213" s="1"/>
  <c r="AX213"/>
  <c r="AW213"/>
  <c r="AV213"/>
  <c r="AC213"/>
  <c r="H213"/>
  <c r="G213"/>
  <c r="BT212"/>
  <c r="BS212"/>
  <c r="BR212"/>
  <c r="BQ212"/>
  <c r="BP212"/>
  <c r="BO212"/>
  <c r="BN212"/>
  <c r="BL212" s="1"/>
  <c r="BM212"/>
  <c r="BK212"/>
  <c r="BJ212"/>
  <c r="BI212"/>
  <c r="BH212"/>
  <c r="BG212"/>
  <c r="BF212"/>
  <c r="BE212"/>
  <c r="BD212"/>
  <c r="BC212"/>
  <c r="BB212"/>
  <c r="BA212" s="1"/>
  <c r="AX212"/>
  <c r="AW212"/>
  <c r="AV212"/>
  <c r="AC212"/>
  <c r="H212"/>
  <c r="BT211"/>
  <c r="BS211"/>
  <c r="BR211"/>
  <c r="BQ211"/>
  <c r="BP211"/>
  <c r="BO211"/>
  <c r="BN211"/>
  <c r="BM211"/>
  <c r="BK211"/>
  <c r="BJ211"/>
  <c r="BI211"/>
  <c r="BH211"/>
  <c r="BG211"/>
  <c r="BF211"/>
  <c r="BE211"/>
  <c r="BD211"/>
  <c r="BC211"/>
  <c r="BB21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L208" s="1"/>
  <c r="BK208"/>
  <c r="BJ208"/>
  <c r="BI208"/>
  <c r="BH208"/>
  <c r="BG208"/>
  <c r="BF208"/>
  <c r="BE208"/>
  <c r="BD208"/>
  <c r="BC208"/>
  <c r="BB208"/>
  <c r="AX208"/>
  <c r="AW208"/>
  <c r="AV208"/>
  <c r="AC208"/>
  <c r="H208"/>
  <c r="G208"/>
  <c r="BT207"/>
  <c r="BS207"/>
  <c r="BR207"/>
  <c r="BQ207"/>
  <c r="BP207"/>
  <c r="BO207"/>
  <c r="BN207"/>
  <c r="BM207"/>
  <c r="BK207"/>
  <c r="BJ207"/>
  <c r="BI207"/>
  <c r="BH207"/>
  <c r="BG207"/>
  <c r="BF207"/>
  <c r="BE207"/>
  <c r="BD207"/>
  <c r="BC207"/>
  <c r="BB207"/>
  <c r="AX207"/>
  <c r="AW207"/>
  <c r="AV207"/>
  <c r="AC207"/>
  <c r="H207"/>
  <c r="G207" s="1"/>
  <c r="BT206"/>
  <c r="BS206"/>
  <c r="BL206" s="1"/>
  <c r="BR206"/>
  <c r="BQ206"/>
  <c r="BP206"/>
  <c r="BO206"/>
  <c r="BN206"/>
  <c r="BM206"/>
  <c r="BK206"/>
  <c r="BJ206"/>
  <c r="BI206"/>
  <c r="BH206"/>
  <c r="BG206"/>
  <c r="BF206"/>
  <c r="BE206"/>
  <c r="BD206"/>
  <c r="BC206"/>
  <c r="BB206"/>
  <c r="AX206"/>
  <c r="AW206"/>
  <c r="AV206"/>
  <c r="AC206"/>
  <c r="H206"/>
  <c r="G206"/>
  <c r="BT205"/>
  <c r="BS205"/>
  <c r="BR205"/>
  <c r="BQ205"/>
  <c r="BP205"/>
  <c r="BO205"/>
  <c r="BN205"/>
  <c r="BL205" s="1"/>
  <c r="BM205"/>
  <c r="BK205"/>
  <c r="BJ205"/>
  <c r="BI205"/>
  <c r="BH205"/>
  <c r="BG205"/>
  <c r="BF205"/>
  <c r="BE205"/>
  <c r="BD205"/>
  <c r="BC205"/>
  <c r="BB205"/>
  <c r="AX205"/>
  <c r="AW205"/>
  <c r="AV205"/>
  <c r="AC205"/>
  <c r="H205"/>
  <c r="BT388"/>
  <c r="BS388"/>
  <c r="BR388"/>
  <c r="BQ388"/>
  <c r="BP388"/>
  <c r="BO388"/>
  <c r="BN388"/>
  <c r="BM388"/>
  <c r="BL388" s="1"/>
  <c r="BK388"/>
  <c r="BJ388"/>
  <c r="BI388"/>
  <c r="BH388"/>
  <c r="BG388"/>
  <c r="BF388"/>
  <c r="BE388"/>
  <c r="BD388"/>
  <c r="BC388"/>
  <c r="BB388"/>
  <c r="AX388"/>
  <c r="AW388"/>
  <c r="AV388"/>
  <c r="AC388"/>
  <c r="H388"/>
  <c r="BT387"/>
  <c r="BS387"/>
  <c r="BR387"/>
  <c r="BQ387"/>
  <c r="BP387"/>
  <c r="BO387"/>
  <c r="BN387"/>
  <c r="BM387"/>
  <c r="BL387"/>
  <c r="BK387"/>
  <c r="BJ387"/>
  <c r="BI387"/>
  <c r="BH387"/>
  <c r="BG387"/>
  <c r="BF387"/>
  <c r="BE387"/>
  <c r="BD387"/>
  <c r="BC387"/>
  <c r="BB387"/>
  <c r="BA387" s="1"/>
  <c r="AZ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G386"/>
  <c r="BT385"/>
  <c r="BS385"/>
  <c r="BR385"/>
  <c r="BQ385"/>
  <c r="BP385"/>
  <c r="BL385" s="1"/>
  <c r="BO385"/>
  <c r="BN385"/>
  <c r="BM385"/>
  <c r="BK385"/>
  <c r="BJ385"/>
  <c r="BI385"/>
  <c r="BH385"/>
  <c r="BG385"/>
  <c r="BF385"/>
  <c r="BE385"/>
  <c r="BD385"/>
  <c r="BA385" s="1"/>
  <c r="BC385"/>
  <c r="BB385"/>
  <c r="AX385"/>
  <c r="AW385"/>
  <c r="AV385"/>
  <c r="AC385"/>
  <c r="H385"/>
  <c r="BT384"/>
  <c r="BS384"/>
  <c r="BR384"/>
  <c r="BQ384"/>
  <c r="BP384"/>
  <c r="BO384"/>
  <c r="BN384"/>
  <c r="BM384"/>
  <c r="BL384" s="1"/>
  <c r="BK384"/>
  <c r="BJ384"/>
  <c r="BI384"/>
  <c r="BH384"/>
  <c r="BG384"/>
  <c r="BF384"/>
  <c r="BE384"/>
  <c r="BA384" s="1"/>
  <c r="AZ384" s="1"/>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A375" s="1"/>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L369" s="1"/>
  <c r="BO369"/>
  <c r="BN369"/>
  <c r="BM369"/>
  <c r="BK369"/>
  <c r="BJ369"/>
  <c r="BI369"/>
  <c r="BH369"/>
  <c r="BG369"/>
  <c r="BF369"/>
  <c r="BE369"/>
  <c r="BD369"/>
  <c r="BA369" s="1"/>
  <c r="BC369"/>
  <c r="BB369"/>
  <c r="AX369"/>
  <c r="AW369"/>
  <c r="AV369"/>
  <c r="AC369"/>
  <c r="H369"/>
  <c r="BT368"/>
  <c r="BS368"/>
  <c r="BR368"/>
  <c r="BL368" s="1"/>
  <c r="BQ368"/>
  <c r="BP368"/>
  <c r="BO368"/>
  <c r="BN368"/>
  <c r="BM368"/>
  <c r="BK368"/>
  <c r="BJ368"/>
  <c r="BI368"/>
  <c r="BH368"/>
  <c r="BG368"/>
  <c r="BF368"/>
  <c r="BE368"/>
  <c r="BA368" s="1"/>
  <c r="AZ368" s="1"/>
  <c r="BD368"/>
  <c r="BC368"/>
  <c r="BB368"/>
  <c r="AX368"/>
  <c r="AW368"/>
  <c r="AV368"/>
  <c r="AC368"/>
  <c r="H368"/>
  <c r="BT367"/>
  <c r="BS367"/>
  <c r="BR367"/>
  <c r="BQ367"/>
  <c r="BP367"/>
  <c r="BO367"/>
  <c r="BN367"/>
  <c r="BM367"/>
  <c r="BK367"/>
  <c r="BJ367"/>
  <c r="BI367"/>
  <c r="BH367"/>
  <c r="BG367"/>
  <c r="BA367" s="1"/>
  <c r="BF367"/>
  <c r="BE367"/>
  <c r="BD367"/>
  <c r="BC367"/>
  <c r="BB367"/>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A351" s="1"/>
  <c r="BI351"/>
  <c r="BH351"/>
  <c r="BG351"/>
  <c r="BF351"/>
  <c r="BE351"/>
  <c r="BD351"/>
  <c r="BC351"/>
  <c r="BB351"/>
  <c r="AX351"/>
  <c r="AW351"/>
  <c r="AV351"/>
  <c r="AC351"/>
  <c r="H351"/>
  <c r="BT350"/>
  <c r="BS350"/>
  <c r="BR350"/>
  <c r="BQ350"/>
  <c r="BP350"/>
  <c r="BO350"/>
  <c r="BN350"/>
  <c r="BL350" s="1"/>
  <c r="BM350"/>
  <c r="BK350"/>
  <c r="BJ350"/>
  <c r="BI350"/>
  <c r="BH350"/>
  <c r="BG350"/>
  <c r="BF350"/>
  <c r="BE350"/>
  <c r="BD350"/>
  <c r="BC350"/>
  <c r="BB350"/>
  <c r="AX350"/>
  <c r="AW350"/>
  <c r="AV350"/>
  <c r="AC350"/>
  <c r="H350"/>
  <c r="BT349"/>
  <c r="BS349"/>
  <c r="BR349"/>
  <c r="BQ349"/>
  <c r="BP349"/>
  <c r="BO349"/>
  <c r="BN349"/>
  <c r="BM349"/>
  <c r="BK349"/>
  <c r="BJ349"/>
  <c r="BI349"/>
  <c r="BA349" s="1"/>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A337" s="1"/>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K335"/>
  <c r="BJ335"/>
  <c r="BI335"/>
  <c r="BH335"/>
  <c r="BG335"/>
  <c r="BF335"/>
  <c r="BE335"/>
  <c r="BD335"/>
  <c r="BA335" s="1"/>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G333" s="1"/>
  <c r="BT332"/>
  <c r="BL332" s="1"/>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L330" s="1"/>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L316" s="1"/>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L314" s="1"/>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A311" s="1"/>
  <c r="BG311"/>
  <c r="BF311"/>
  <c r="BE311"/>
  <c r="BD311"/>
  <c r="BC311"/>
  <c r="BB31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A309" s="1"/>
  <c r="BH309"/>
  <c r="BG309"/>
  <c r="BF309"/>
  <c r="BE309"/>
  <c r="BD309"/>
  <c r="BC309"/>
  <c r="BB309"/>
  <c r="AX309"/>
  <c r="AW309"/>
  <c r="AV309"/>
  <c r="AC309"/>
  <c r="H309"/>
  <c r="G309" s="1"/>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A301" s="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L480" s="1"/>
  <c r="BQ480"/>
  <c r="BP480"/>
  <c r="BO480"/>
  <c r="BN480"/>
  <c r="BM480"/>
  <c r="BK480"/>
  <c r="BJ480"/>
  <c r="BI480"/>
  <c r="BH480"/>
  <c r="BG480"/>
  <c r="BF480"/>
  <c r="BE480"/>
  <c r="BD480"/>
  <c r="BC480"/>
  <c r="BB480"/>
  <c r="BA480" s="1"/>
  <c r="AZ480" s="1"/>
  <c r="AX480"/>
  <c r="AW480"/>
  <c r="AV480"/>
  <c r="AC480"/>
  <c r="H480"/>
  <c r="G480" s="1"/>
  <c r="BT479"/>
  <c r="BS479"/>
  <c r="BR479"/>
  <c r="BQ479"/>
  <c r="BP479"/>
  <c r="BO479"/>
  <c r="BN479"/>
  <c r="BM479"/>
  <c r="BL479" s="1"/>
  <c r="BK479"/>
  <c r="BJ479"/>
  <c r="BA479" s="1"/>
  <c r="BI479"/>
  <c r="BH479"/>
  <c r="BG479"/>
  <c r="BF479"/>
  <c r="BE479"/>
  <c r="BD479"/>
  <c r="BC479"/>
  <c r="BB479"/>
  <c r="AX479"/>
  <c r="AW479"/>
  <c r="AV479"/>
  <c r="AC479"/>
  <c r="H479"/>
  <c r="G479" s="1"/>
  <c r="BT478"/>
  <c r="BS478"/>
  <c r="BR478"/>
  <c r="BQ478"/>
  <c r="BP478"/>
  <c r="BO478"/>
  <c r="BN478"/>
  <c r="BM478"/>
  <c r="BL478"/>
  <c r="BK478"/>
  <c r="BJ478"/>
  <c r="BI478"/>
  <c r="BH478"/>
  <c r="BG478"/>
  <c r="BF478"/>
  <c r="BE478"/>
  <c r="BD478"/>
  <c r="BC478"/>
  <c r="BB478"/>
  <c r="BA478" s="1"/>
  <c r="AZ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K476"/>
  <c r="BJ476"/>
  <c r="BI476"/>
  <c r="BH476"/>
  <c r="BG476"/>
  <c r="BF476"/>
  <c r="BE476"/>
  <c r="BD476"/>
  <c r="BC476"/>
  <c r="BA476" s="1"/>
  <c r="BB476"/>
  <c r="AX476"/>
  <c r="AW476"/>
  <c r="AV476"/>
  <c r="AC476"/>
  <c r="H476"/>
  <c r="G476" s="1"/>
  <c r="BT475"/>
  <c r="BL475" s="1"/>
  <c r="BS475"/>
  <c r="BR475"/>
  <c r="BQ475"/>
  <c r="BP475"/>
  <c r="BO475"/>
  <c r="BN475"/>
  <c r="BM475"/>
  <c r="BK475"/>
  <c r="BJ475"/>
  <c r="BI475"/>
  <c r="BH475"/>
  <c r="BG475"/>
  <c r="BA475" s="1"/>
  <c r="BF475"/>
  <c r="BE475"/>
  <c r="BD475"/>
  <c r="BC475"/>
  <c r="BB475"/>
  <c r="AX475"/>
  <c r="AW475"/>
  <c r="AV475"/>
  <c r="AC475"/>
  <c r="H475"/>
  <c r="G475" s="1"/>
  <c r="BT474"/>
  <c r="BS474"/>
  <c r="BR474"/>
  <c r="BQ474"/>
  <c r="BP474"/>
  <c r="BO474"/>
  <c r="BN474"/>
  <c r="BM474"/>
  <c r="BL474" s="1"/>
  <c r="BK474"/>
  <c r="BJ474"/>
  <c r="BA474" s="1"/>
  <c r="BI474"/>
  <c r="BH474"/>
  <c r="BG474"/>
  <c r="BF474"/>
  <c r="BE474"/>
  <c r="BD474"/>
  <c r="BC474"/>
  <c r="BB474"/>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s="1"/>
  <c r="BT472"/>
  <c r="BS472"/>
  <c r="BR472"/>
  <c r="BQ472"/>
  <c r="BP472"/>
  <c r="BO472"/>
  <c r="BN472"/>
  <c r="BM472"/>
  <c r="BK472"/>
  <c r="BJ472"/>
  <c r="BI472"/>
  <c r="BH472"/>
  <c r="BG472"/>
  <c r="BF472"/>
  <c r="BE472"/>
  <c r="BD472"/>
  <c r="BC472"/>
  <c r="BB472"/>
  <c r="BA472" s="1"/>
  <c r="AX472"/>
  <c r="AW472"/>
  <c r="AV472"/>
  <c r="AC472"/>
  <c r="H472"/>
  <c r="G472"/>
  <c r="BT471"/>
  <c r="BS471"/>
  <c r="BR471"/>
  <c r="BQ471"/>
  <c r="BP471"/>
  <c r="BO471"/>
  <c r="BN471"/>
  <c r="BM471"/>
  <c r="BL471" s="1"/>
  <c r="BK471"/>
  <c r="BJ471"/>
  <c r="BI471"/>
  <c r="BH471"/>
  <c r="BG471"/>
  <c r="BF471"/>
  <c r="BE471"/>
  <c r="BD471"/>
  <c r="BC471"/>
  <c r="BB471"/>
  <c r="AX471"/>
  <c r="AW471"/>
  <c r="AV471"/>
  <c r="AC471"/>
  <c r="H471"/>
  <c r="G471" s="1"/>
  <c r="BT470"/>
  <c r="BL470" s="1"/>
  <c r="BS470"/>
  <c r="BR470"/>
  <c r="BQ470"/>
  <c r="BP470"/>
  <c r="BO470"/>
  <c r="BN470"/>
  <c r="BM470"/>
  <c r="BK470"/>
  <c r="BJ470"/>
  <c r="BI470"/>
  <c r="BH470"/>
  <c r="BG470"/>
  <c r="BA470" s="1"/>
  <c r="AZ470" s="1"/>
  <c r="BF470"/>
  <c r="BE470"/>
  <c r="BD470"/>
  <c r="BC470"/>
  <c r="BB470"/>
  <c r="AX470"/>
  <c r="AW470"/>
  <c r="AV470"/>
  <c r="AC470"/>
  <c r="H470"/>
  <c r="BT469"/>
  <c r="BS469"/>
  <c r="BR469"/>
  <c r="BQ469"/>
  <c r="BP469"/>
  <c r="BO469"/>
  <c r="BN469"/>
  <c r="BM469"/>
  <c r="BL469" s="1"/>
  <c r="BK469"/>
  <c r="BJ469"/>
  <c r="BI469"/>
  <c r="BH469"/>
  <c r="BG469"/>
  <c r="BF469"/>
  <c r="BE469"/>
  <c r="BD469"/>
  <c r="BC469"/>
  <c r="BB469"/>
  <c r="AX469"/>
  <c r="AW469"/>
  <c r="AV469"/>
  <c r="AC469"/>
  <c r="G469" s="1"/>
  <c r="H469"/>
  <c r="BT468"/>
  <c r="BS468"/>
  <c r="BR468"/>
  <c r="BQ468"/>
  <c r="BP468"/>
  <c r="BO468"/>
  <c r="BN468"/>
  <c r="BM468"/>
  <c r="BL468" s="1"/>
  <c r="BK468"/>
  <c r="BJ468"/>
  <c r="BI468"/>
  <c r="BH468"/>
  <c r="BG468"/>
  <c r="BF468"/>
  <c r="BE468"/>
  <c r="BD468"/>
  <c r="BC468"/>
  <c r="BB468"/>
  <c r="BA468"/>
  <c r="AX468"/>
  <c r="AW468"/>
  <c r="AV468"/>
  <c r="AC468"/>
  <c r="H468"/>
  <c r="G468"/>
  <c r="BT467"/>
  <c r="BS467"/>
  <c r="BR467"/>
  <c r="BQ467"/>
  <c r="BP467"/>
  <c r="BO467"/>
  <c r="BN467"/>
  <c r="BM467"/>
  <c r="BK467"/>
  <c r="BJ467"/>
  <c r="BI467"/>
  <c r="BH467"/>
  <c r="BG467"/>
  <c r="BF467"/>
  <c r="BE467"/>
  <c r="BD467"/>
  <c r="BC467"/>
  <c r="BB467"/>
  <c r="AX467"/>
  <c r="AW467"/>
  <c r="AV467"/>
  <c r="AC467"/>
  <c r="H467"/>
  <c r="G467"/>
  <c r="BT466"/>
  <c r="BS466"/>
  <c r="BR466"/>
  <c r="BQ466"/>
  <c r="BP466"/>
  <c r="BO466"/>
  <c r="BN466"/>
  <c r="BM466"/>
  <c r="BL466" s="1"/>
  <c r="BK466"/>
  <c r="BJ466"/>
  <c r="BI466"/>
  <c r="BH466"/>
  <c r="BG466"/>
  <c r="BF466"/>
  <c r="BE466"/>
  <c r="BD466"/>
  <c r="BC466"/>
  <c r="BB466"/>
  <c r="AX466"/>
  <c r="AW466"/>
  <c r="AV466"/>
  <c r="AC466"/>
  <c r="H466"/>
  <c r="G466" s="1"/>
  <c r="BT465"/>
  <c r="BL465" s="1"/>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BA464" s="1"/>
  <c r="AZ464" s="1"/>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c r="BT462"/>
  <c r="BS462"/>
  <c r="BR462"/>
  <c r="BQ462"/>
  <c r="BP462"/>
  <c r="BO462"/>
  <c r="BN462"/>
  <c r="BM462"/>
  <c r="BK462"/>
  <c r="BJ462"/>
  <c r="BI462"/>
  <c r="BH462"/>
  <c r="BG462"/>
  <c r="BF462"/>
  <c r="BE462"/>
  <c r="BD462"/>
  <c r="BC462"/>
  <c r="BB462"/>
  <c r="AX462"/>
  <c r="AW462"/>
  <c r="AV462"/>
  <c r="AC462"/>
  <c r="H462"/>
  <c r="G462" s="1"/>
  <c r="BT461"/>
  <c r="BS461"/>
  <c r="BR461"/>
  <c r="BL461" s="1"/>
  <c r="BQ461"/>
  <c r="BP461"/>
  <c r="BO461"/>
  <c r="BN461"/>
  <c r="BM461"/>
  <c r="BK461"/>
  <c r="BJ461"/>
  <c r="BI461"/>
  <c r="BH461"/>
  <c r="BG461"/>
  <c r="BF461"/>
  <c r="BE461"/>
  <c r="BD461"/>
  <c r="BC461"/>
  <c r="BB461"/>
  <c r="BA461" s="1"/>
  <c r="AX461"/>
  <c r="AW461"/>
  <c r="AV461"/>
  <c r="AC461"/>
  <c r="H461"/>
  <c r="G461"/>
  <c r="BT460"/>
  <c r="BS460"/>
  <c r="BR460"/>
  <c r="BQ460"/>
  <c r="BP460"/>
  <c r="BO460"/>
  <c r="BN460"/>
  <c r="BM460"/>
  <c r="BL460"/>
  <c r="BK460"/>
  <c r="BJ460"/>
  <c r="BI460"/>
  <c r="BA460" s="1"/>
  <c r="AZ460" s="1"/>
  <c r="BH460"/>
  <c r="BG460"/>
  <c r="BF460"/>
  <c r="BE460"/>
  <c r="BD460"/>
  <c r="BC460"/>
  <c r="BB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s="1"/>
  <c r="BK458"/>
  <c r="BJ458"/>
  <c r="BI458"/>
  <c r="BH458"/>
  <c r="BG458"/>
  <c r="BF458"/>
  <c r="BE458"/>
  <c r="BD458"/>
  <c r="BC458"/>
  <c r="BB458"/>
  <c r="BA458" s="1"/>
  <c r="AX458"/>
  <c r="AW458"/>
  <c r="AV458"/>
  <c r="AC458"/>
  <c r="H458"/>
  <c r="G458"/>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BA456" s="1"/>
  <c r="AX456"/>
  <c r="AW456"/>
  <c r="AV456"/>
  <c r="AC456"/>
  <c r="H456"/>
  <c r="G456"/>
  <c r="BT455"/>
  <c r="BS455"/>
  <c r="BR455"/>
  <c r="BQ455"/>
  <c r="BP455"/>
  <c r="BO455"/>
  <c r="BN455"/>
  <c r="BM455"/>
  <c r="BL455"/>
  <c r="BK455"/>
  <c r="BJ455"/>
  <c r="BI455"/>
  <c r="BA455" s="1"/>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BA454" s="1"/>
  <c r="AX454"/>
  <c r="AW454"/>
  <c r="AV454"/>
  <c r="AC454"/>
  <c r="G454" s="1"/>
  <c r="H454"/>
  <c r="BT453"/>
  <c r="BS453"/>
  <c r="BR453"/>
  <c r="BQ453"/>
  <c r="BP453"/>
  <c r="BO453"/>
  <c r="BN453"/>
  <c r="BM453"/>
  <c r="BL453" s="1"/>
  <c r="BK453"/>
  <c r="BJ453"/>
  <c r="BI453"/>
  <c r="BH453"/>
  <c r="BG453"/>
  <c r="BF453"/>
  <c r="BE453"/>
  <c r="BD453"/>
  <c r="BC453"/>
  <c r="BB453"/>
  <c r="BA453"/>
  <c r="AX453"/>
  <c r="AW453"/>
  <c r="AV453"/>
  <c r="AC453"/>
  <c r="H453"/>
  <c r="G453"/>
  <c r="BT452"/>
  <c r="BS452"/>
  <c r="BR452"/>
  <c r="BQ452"/>
  <c r="BP452"/>
  <c r="BO452"/>
  <c r="BN452"/>
  <c r="BL452" s="1"/>
  <c r="BM452"/>
  <c r="BK452"/>
  <c r="BJ452"/>
  <c r="BI452"/>
  <c r="BH452"/>
  <c r="BG452"/>
  <c r="BF452"/>
  <c r="BE452"/>
  <c r="BD452"/>
  <c r="BC452"/>
  <c r="BB452"/>
  <c r="BA452" s="1"/>
  <c r="AX452"/>
  <c r="AW452"/>
  <c r="AV452"/>
  <c r="AC452"/>
  <c r="H452"/>
  <c r="G452"/>
  <c r="BT451"/>
  <c r="BS451"/>
  <c r="BR451"/>
  <c r="BQ451"/>
  <c r="BP451"/>
  <c r="BO451"/>
  <c r="BN451"/>
  <c r="BM451"/>
  <c r="BK451"/>
  <c r="BJ451"/>
  <c r="BI451"/>
  <c r="BH451"/>
  <c r="BG451"/>
  <c r="BF451"/>
  <c r="BE451"/>
  <c r="BD451"/>
  <c r="BC451"/>
  <c r="BB451"/>
  <c r="AX451"/>
  <c r="AW451"/>
  <c r="AV451"/>
  <c r="AC451"/>
  <c r="H451"/>
  <c r="G451"/>
  <c r="BT450"/>
  <c r="BS450"/>
  <c r="BR450"/>
  <c r="BQ450"/>
  <c r="BP450"/>
  <c r="BO450"/>
  <c r="BN450"/>
  <c r="BM450"/>
  <c r="BL450"/>
  <c r="BK450"/>
  <c r="BJ450"/>
  <c r="BI450"/>
  <c r="BA450" s="1"/>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BA449" s="1"/>
  <c r="AX449"/>
  <c r="AW449"/>
  <c r="AV449"/>
  <c r="AC449"/>
  <c r="G449" s="1"/>
  <c r="H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L447" s="1"/>
  <c r="BM447"/>
  <c r="BK447"/>
  <c r="BJ447"/>
  <c r="BI447"/>
  <c r="BH447"/>
  <c r="BG447"/>
  <c r="BF447"/>
  <c r="BE447"/>
  <c r="BD447"/>
  <c r="BC447"/>
  <c r="BB447"/>
  <c r="BA447" s="1"/>
  <c r="AX447"/>
  <c r="AW447"/>
  <c r="AV447"/>
  <c r="AC447"/>
  <c r="H447"/>
  <c r="G447" s="1"/>
  <c r="BT446"/>
  <c r="BS446"/>
  <c r="BR446"/>
  <c r="BL446" s="1"/>
  <c r="BQ446"/>
  <c r="BP446"/>
  <c r="BO446"/>
  <c r="BN446"/>
  <c r="BM446"/>
  <c r="BK446"/>
  <c r="BJ446"/>
  <c r="BI446"/>
  <c r="BH446"/>
  <c r="BG446"/>
  <c r="BF446"/>
  <c r="BE446"/>
  <c r="BD446"/>
  <c r="BC446"/>
  <c r="BB446"/>
  <c r="BA446" s="1"/>
  <c r="AX446"/>
  <c r="AW446"/>
  <c r="AV446"/>
  <c r="AC446"/>
  <c r="H446"/>
  <c r="G446"/>
  <c r="BT445"/>
  <c r="BS445"/>
  <c r="BR445"/>
  <c r="BQ445"/>
  <c r="BP445"/>
  <c r="BO445"/>
  <c r="BN445"/>
  <c r="BM445"/>
  <c r="BL445"/>
  <c r="BK445"/>
  <c r="BJ445"/>
  <c r="BI445"/>
  <c r="BA445" s="1"/>
  <c r="AZ445" s="1"/>
  <c r="BH445"/>
  <c r="BG445"/>
  <c r="BF445"/>
  <c r="BE445"/>
  <c r="BD445"/>
  <c r="BC445"/>
  <c r="BB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c r="BT443"/>
  <c r="BS443"/>
  <c r="BR443"/>
  <c r="BQ443"/>
  <c r="BP443"/>
  <c r="BO443"/>
  <c r="BN443"/>
  <c r="BM443"/>
  <c r="BK443"/>
  <c r="BJ443"/>
  <c r="BI443"/>
  <c r="BH443"/>
  <c r="BG443"/>
  <c r="BF443"/>
  <c r="BE443"/>
  <c r="BD443"/>
  <c r="BC443"/>
  <c r="BB443"/>
  <c r="BA443" s="1"/>
  <c r="AX443"/>
  <c r="AW443"/>
  <c r="AV443"/>
  <c r="AC443"/>
  <c r="H443"/>
  <c r="G443"/>
  <c r="BT442"/>
  <c r="BS442"/>
  <c r="BR442"/>
  <c r="BQ442"/>
  <c r="BP442"/>
  <c r="BO442"/>
  <c r="BL442" s="1"/>
  <c r="BN442"/>
  <c r="BM442"/>
  <c r="BK442"/>
  <c r="BJ442"/>
  <c r="BI442"/>
  <c r="BH442"/>
  <c r="BG442"/>
  <c r="BF442"/>
  <c r="BE442"/>
  <c r="BD442"/>
  <c r="BC442"/>
  <c r="BB442"/>
  <c r="AX442"/>
  <c r="AW442"/>
  <c r="AV442"/>
  <c r="AC442"/>
  <c r="H442"/>
  <c r="G442" s="1"/>
  <c r="BT441"/>
  <c r="BS441"/>
  <c r="BR441"/>
  <c r="BL441" s="1"/>
  <c r="BQ441"/>
  <c r="BP441"/>
  <c r="BO441"/>
  <c r="BN441"/>
  <c r="BM441"/>
  <c r="BK441"/>
  <c r="BJ441"/>
  <c r="BI441"/>
  <c r="BH441"/>
  <c r="BG441"/>
  <c r="BF441"/>
  <c r="BE441"/>
  <c r="BD441"/>
  <c r="BC441"/>
  <c r="BB441"/>
  <c r="AX441"/>
  <c r="AW441"/>
  <c r="AV441"/>
  <c r="AC441"/>
  <c r="H441"/>
  <c r="G441"/>
  <c r="BT440"/>
  <c r="BS440"/>
  <c r="BR440"/>
  <c r="BQ440"/>
  <c r="BP440"/>
  <c r="BO440"/>
  <c r="BN440"/>
  <c r="BM440"/>
  <c r="BL440"/>
  <c r="BK440"/>
  <c r="BJ440"/>
  <c r="BI440"/>
  <c r="BA440" s="1"/>
  <c r="BH440"/>
  <c r="BG440"/>
  <c r="BF440"/>
  <c r="BE440"/>
  <c r="BD440"/>
  <c r="BC440"/>
  <c r="BB440"/>
  <c r="AZ440"/>
  <c r="AX440"/>
  <c r="AW440"/>
  <c r="AV440"/>
  <c r="AC440"/>
  <c r="H440"/>
  <c r="G440" s="1"/>
  <c r="BT439"/>
  <c r="BS439"/>
  <c r="BR439"/>
  <c r="BQ439"/>
  <c r="BP439"/>
  <c r="BO439"/>
  <c r="BL439" s="1"/>
  <c r="BN439"/>
  <c r="BM439"/>
  <c r="BK439"/>
  <c r="BJ439"/>
  <c r="BI439"/>
  <c r="BH439"/>
  <c r="BG439"/>
  <c r="BF439"/>
  <c r="BE439"/>
  <c r="BD439"/>
  <c r="BC439"/>
  <c r="BB439"/>
  <c r="BA439" s="1"/>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c r="BT437"/>
  <c r="BS437"/>
  <c r="BR437"/>
  <c r="BQ437"/>
  <c r="BP437"/>
  <c r="BO437"/>
  <c r="BN437"/>
  <c r="BM437"/>
  <c r="BK437"/>
  <c r="BJ437"/>
  <c r="BI437"/>
  <c r="BH437"/>
  <c r="BG437"/>
  <c r="BF437"/>
  <c r="BE437"/>
  <c r="BD437"/>
  <c r="BC437"/>
  <c r="BB437"/>
  <c r="BA437" s="1"/>
  <c r="AX437"/>
  <c r="AW437"/>
  <c r="AV437"/>
  <c r="AC437"/>
  <c r="H437"/>
  <c r="G437" s="1"/>
  <c r="BT436"/>
  <c r="BS436"/>
  <c r="BR436"/>
  <c r="BQ436"/>
  <c r="BP436"/>
  <c r="BO436"/>
  <c r="BN436"/>
  <c r="BM436"/>
  <c r="BK436"/>
  <c r="BJ436"/>
  <c r="BI436"/>
  <c r="BH436"/>
  <c r="BG436"/>
  <c r="BF436"/>
  <c r="BE436"/>
  <c r="BD436"/>
  <c r="BC436"/>
  <c r="BB436"/>
  <c r="BA436" s="1"/>
  <c r="AX436"/>
  <c r="AW436"/>
  <c r="AV436"/>
  <c r="AC436"/>
  <c r="H436"/>
  <c r="G436"/>
  <c r="BT435"/>
  <c r="BS435"/>
  <c r="BR435"/>
  <c r="BQ435"/>
  <c r="BP435"/>
  <c r="BO435"/>
  <c r="BN435"/>
  <c r="BM435"/>
  <c r="BL435"/>
  <c r="BK435"/>
  <c r="BJ435"/>
  <c r="BI435"/>
  <c r="BA435" s="1"/>
  <c r="AZ435" s="1"/>
  <c r="BH435"/>
  <c r="BG435"/>
  <c r="BF435"/>
  <c r="BE435"/>
  <c r="BD435"/>
  <c r="BC435"/>
  <c r="BB435"/>
  <c r="AX435"/>
  <c r="AW435"/>
  <c r="AV435"/>
  <c r="AC435"/>
  <c r="H435"/>
  <c r="G435" s="1"/>
  <c r="BT434"/>
  <c r="BS434"/>
  <c r="BR434"/>
  <c r="BQ434"/>
  <c r="BP434"/>
  <c r="BO434"/>
  <c r="BL434" s="1"/>
  <c r="BN434"/>
  <c r="BM434"/>
  <c r="BK434"/>
  <c r="BJ434"/>
  <c r="BI434"/>
  <c r="BH434"/>
  <c r="BG434"/>
  <c r="BF434"/>
  <c r="BE434"/>
  <c r="BD434"/>
  <c r="BC434"/>
  <c r="BB434"/>
  <c r="AX434"/>
  <c r="AW434"/>
  <c r="AV434"/>
  <c r="AC434"/>
  <c r="H434"/>
  <c r="G434"/>
  <c r="BT433"/>
  <c r="BS433"/>
  <c r="BR433"/>
  <c r="BQ433"/>
  <c r="BP433"/>
  <c r="BO433"/>
  <c r="BN433"/>
  <c r="BM433"/>
  <c r="BK433"/>
  <c r="BJ433"/>
  <c r="BI433"/>
  <c r="BH433"/>
  <c r="BG433"/>
  <c r="BF433"/>
  <c r="BE433"/>
  <c r="BD433"/>
  <c r="BC433"/>
  <c r="BB433"/>
  <c r="AX433"/>
  <c r="AW433"/>
  <c r="AV433"/>
  <c r="AC433"/>
  <c r="H433"/>
  <c r="G433"/>
  <c r="BT432"/>
  <c r="BS432"/>
  <c r="BR432"/>
  <c r="BQ432"/>
  <c r="BP432"/>
  <c r="BO432"/>
  <c r="BN432"/>
  <c r="BM432"/>
  <c r="BK432"/>
  <c r="BJ432"/>
  <c r="BI432"/>
  <c r="BH432"/>
  <c r="BG432"/>
  <c r="BF432"/>
  <c r="BE432"/>
  <c r="BD432"/>
  <c r="BC432"/>
  <c r="BB432"/>
  <c r="AX432"/>
  <c r="AW432"/>
  <c r="AV432"/>
  <c r="AC432"/>
  <c r="H432"/>
  <c r="G432" s="1"/>
  <c r="BT431"/>
  <c r="BS431"/>
  <c r="BR431"/>
  <c r="BL431" s="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c r="BK430"/>
  <c r="BJ430"/>
  <c r="BI430"/>
  <c r="BA430" s="1"/>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c r="BT427"/>
  <c r="BS427"/>
  <c r="BR427"/>
  <c r="BQ427"/>
  <c r="BP427"/>
  <c r="BO427"/>
  <c r="BN427"/>
  <c r="BM427"/>
  <c r="BK427"/>
  <c r="BJ427"/>
  <c r="BI427"/>
  <c r="BH427"/>
  <c r="BG427"/>
  <c r="BF427"/>
  <c r="BE427"/>
  <c r="BD427"/>
  <c r="BC427"/>
  <c r="BB427"/>
  <c r="BA427" s="1"/>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c r="BT425"/>
  <c r="BS425"/>
  <c r="BR425"/>
  <c r="BQ425"/>
  <c r="BP425"/>
  <c r="BO425"/>
  <c r="BN425"/>
  <c r="BM425"/>
  <c r="BL425"/>
  <c r="BK425"/>
  <c r="BJ425"/>
  <c r="BI425"/>
  <c r="BA425" s="1"/>
  <c r="AZ425" s="1"/>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G424" s="1"/>
  <c r="BT423"/>
  <c r="BS423"/>
  <c r="BR423"/>
  <c r="BQ423"/>
  <c r="BP423"/>
  <c r="BO423"/>
  <c r="BN423"/>
  <c r="BM423"/>
  <c r="BK423"/>
  <c r="BJ423"/>
  <c r="BI423"/>
  <c r="BH423"/>
  <c r="BG423"/>
  <c r="BF423"/>
  <c r="BE423"/>
  <c r="BD423"/>
  <c r="BC423"/>
  <c r="BB423"/>
  <c r="AX423"/>
  <c r="AW423"/>
  <c r="AV423"/>
  <c r="AC423"/>
  <c r="H423"/>
  <c r="G423"/>
  <c r="BT422"/>
  <c r="BS422"/>
  <c r="BR422"/>
  <c r="BQ422"/>
  <c r="BP422"/>
  <c r="BL422" s="1"/>
  <c r="BO422"/>
  <c r="BN422"/>
  <c r="BM422"/>
  <c r="BK422"/>
  <c r="BJ422"/>
  <c r="BI422"/>
  <c r="BH422"/>
  <c r="BG422"/>
  <c r="BF422"/>
  <c r="BE422"/>
  <c r="BD422"/>
  <c r="BC422"/>
  <c r="BA422" s="1"/>
  <c r="BB422"/>
  <c r="AX422"/>
  <c r="AW422"/>
  <c r="AV422"/>
  <c r="AC422"/>
  <c r="H422"/>
  <c r="G422" s="1"/>
  <c r="BT421"/>
  <c r="BS421"/>
  <c r="BR421"/>
  <c r="BL421" s="1"/>
  <c r="BQ421"/>
  <c r="BP421"/>
  <c r="BO421"/>
  <c r="BN421"/>
  <c r="BM42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BA420"/>
  <c r="AZ420" s="1"/>
  <c r="AX420"/>
  <c r="AW420"/>
  <c r="AV420"/>
  <c r="AC420"/>
  <c r="G420" s="1"/>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K418"/>
  <c r="BJ418"/>
  <c r="BI418"/>
  <c r="BH418"/>
  <c r="BG418"/>
  <c r="BF418"/>
  <c r="BE418"/>
  <c r="BD418"/>
  <c r="BC418"/>
  <c r="BB418"/>
  <c r="BA418" s="1"/>
  <c r="AX418"/>
  <c r="AW418"/>
  <c r="AV418"/>
  <c r="AC418"/>
  <c r="H418"/>
  <c r="G418"/>
  <c r="BT417"/>
  <c r="BS417"/>
  <c r="BR417"/>
  <c r="BQ417"/>
  <c r="BP417"/>
  <c r="BO417"/>
  <c r="BN417"/>
  <c r="BM417"/>
  <c r="BL417" s="1"/>
  <c r="BK417"/>
  <c r="BJ417"/>
  <c r="BI417"/>
  <c r="BH417"/>
  <c r="BG417"/>
  <c r="BF417"/>
  <c r="BE417"/>
  <c r="BA417" s="1"/>
  <c r="BD417"/>
  <c r="BC417"/>
  <c r="BB417"/>
  <c r="AX417"/>
  <c r="AW417"/>
  <c r="AV417"/>
  <c r="AC417"/>
  <c r="H417"/>
  <c r="G417"/>
  <c r="BT416"/>
  <c r="BS416"/>
  <c r="BR416"/>
  <c r="BQ416"/>
  <c r="BP416"/>
  <c r="BO416"/>
  <c r="BN416"/>
  <c r="BM416"/>
  <c r="BL416"/>
  <c r="BK416"/>
  <c r="BJ416"/>
  <c r="BI416"/>
  <c r="BA416" s="1"/>
  <c r="BH416"/>
  <c r="BG416"/>
  <c r="BF416"/>
  <c r="BE416"/>
  <c r="BD416"/>
  <c r="BC416"/>
  <c r="BB416"/>
  <c r="AZ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c r="BT414"/>
  <c r="BS414"/>
  <c r="BR414"/>
  <c r="BQ414"/>
  <c r="BP414"/>
  <c r="BO414"/>
  <c r="BN414"/>
  <c r="BM414"/>
  <c r="BK414"/>
  <c r="BJ414"/>
  <c r="BI414"/>
  <c r="BH414"/>
  <c r="BG414"/>
  <c r="BF414"/>
  <c r="BE414"/>
  <c r="BD414"/>
  <c r="BC414"/>
  <c r="BB414"/>
  <c r="AX414"/>
  <c r="AW414"/>
  <c r="AV414"/>
  <c r="AC414"/>
  <c r="H414"/>
  <c r="G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AX412"/>
  <c r="AW412"/>
  <c r="AV412"/>
  <c r="AC412"/>
  <c r="H412"/>
  <c r="G412" s="1"/>
  <c r="BT411"/>
  <c r="BS411"/>
  <c r="BR411"/>
  <c r="BQ411"/>
  <c r="BP411"/>
  <c r="BO411"/>
  <c r="BN411"/>
  <c r="BM411"/>
  <c r="BL411" s="1"/>
  <c r="BK411"/>
  <c r="BJ411"/>
  <c r="BA411" s="1"/>
  <c r="AZ411" s="1"/>
  <c r="BI411"/>
  <c r="BH411"/>
  <c r="BG411"/>
  <c r="BF411"/>
  <c r="BE411"/>
  <c r="BD411"/>
  <c r="BC411"/>
  <c r="BB411"/>
  <c r="AX411"/>
  <c r="AW411"/>
  <c r="AV411"/>
  <c r="AC411"/>
  <c r="G411" s="1"/>
  <c r="H411"/>
  <c r="BT410"/>
  <c r="BS410"/>
  <c r="BR410"/>
  <c r="BQ410"/>
  <c r="BP410"/>
  <c r="BO410"/>
  <c r="BN410"/>
  <c r="BM410"/>
  <c r="BK410"/>
  <c r="BJ410"/>
  <c r="BI410"/>
  <c r="BH410"/>
  <c r="BG410"/>
  <c r="BF410"/>
  <c r="BE410"/>
  <c r="BD410"/>
  <c r="BA410" s="1"/>
  <c r="BC410"/>
  <c r="BB410"/>
  <c r="AX410"/>
  <c r="AW410"/>
  <c r="AV410"/>
  <c r="AC410"/>
  <c r="H410"/>
  <c r="G410" s="1"/>
  <c r="BT409"/>
  <c r="BS409"/>
  <c r="BR409"/>
  <c r="BQ409"/>
  <c r="BP409"/>
  <c r="BO409"/>
  <c r="BN409"/>
  <c r="BM409"/>
  <c r="BK409"/>
  <c r="BJ409"/>
  <c r="BI409"/>
  <c r="BH409"/>
  <c r="BG409"/>
  <c r="BF409"/>
  <c r="BE409"/>
  <c r="BD409"/>
  <c r="BC409"/>
  <c r="BB409"/>
  <c r="BA409" s="1"/>
  <c r="AX409"/>
  <c r="AW409"/>
  <c r="AV409"/>
  <c r="AC409"/>
  <c r="H409"/>
  <c r="G409"/>
  <c r="BT408"/>
  <c r="BS408"/>
  <c r="BR408"/>
  <c r="BQ408"/>
  <c r="BP408"/>
  <c r="BO408"/>
  <c r="BN408"/>
  <c r="BM408"/>
  <c r="BL408" s="1"/>
  <c r="BK408"/>
  <c r="BJ408"/>
  <c r="BI408"/>
  <c r="BH408"/>
  <c r="BG408"/>
  <c r="BF408"/>
  <c r="BE408"/>
  <c r="BA408" s="1"/>
  <c r="BD408"/>
  <c r="BC408"/>
  <c r="BB408"/>
  <c r="AX408"/>
  <c r="AW408"/>
  <c r="AV408"/>
  <c r="AC408"/>
  <c r="H408"/>
  <c r="G408"/>
  <c r="BT407"/>
  <c r="BS407"/>
  <c r="BR407"/>
  <c r="BQ407"/>
  <c r="BP407"/>
  <c r="BO407"/>
  <c r="BN407"/>
  <c r="BM407"/>
  <c r="BL407"/>
  <c r="BK407"/>
  <c r="BJ407"/>
  <c r="BI407"/>
  <c r="BA407" s="1"/>
  <c r="BH407"/>
  <c r="BG407"/>
  <c r="BF407"/>
  <c r="BE407"/>
  <c r="BD407"/>
  <c r="BC407"/>
  <c r="BB407"/>
  <c r="AX407"/>
  <c r="AW407"/>
  <c r="AV407"/>
  <c r="AC407"/>
  <c r="H407"/>
  <c r="G407" s="1"/>
  <c r="BT406"/>
  <c r="BS406"/>
  <c r="BR406"/>
  <c r="BQ406"/>
  <c r="BP406"/>
  <c r="BO406"/>
  <c r="BN406"/>
  <c r="BM406"/>
  <c r="BL406" s="1"/>
  <c r="BK406"/>
  <c r="BJ406"/>
  <c r="BI406"/>
  <c r="BH406"/>
  <c r="BG406"/>
  <c r="BF406"/>
  <c r="BE406"/>
  <c r="BD406"/>
  <c r="BC406"/>
  <c r="BB406"/>
  <c r="BA406" s="1"/>
  <c r="AZ406" s="1"/>
  <c r="AX406"/>
  <c r="AW406"/>
  <c r="AV406"/>
  <c r="AC406"/>
  <c r="H406"/>
  <c r="G406"/>
  <c r="BT405"/>
  <c r="BS405"/>
  <c r="BR405"/>
  <c r="BQ405"/>
  <c r="BP405"/>
  <c r="BO405"/>
  <c r="BN405"/>
  <c r="BM405"/>
  <c r="BK405"/>
  <c r="BJ405"/>
  <c r="BI405"/>
  <c r="BH405"/>
  <c r="BG405"/>
  <c r="BF405"/>
  <c r="BE405"/>
  <c r="BD405"/>
  <c r="BC405"/>
  <c r="BB405"/>
  <c r="AX405"/>
  <c r="AW405"/>
  <c r="AV405"/>
  <c r="AC405"/>
  <c r="H405"/>
  <c r="G405"/>
  <c r="BT404"/>
  <c r="BS404"/>
  <c r="BR404"/>
  <c r="BQ404"/>
  <c r="BP404"/>
  <c r="BL404" s="1"/>
  <c r="BO404"/>
  <c r="BN404"/>
  <c r="BM404"/>
  <c r="BK404"/>
  <c r="BJ404"/>
  <c r="BI404"/>
  <c r="BH404"/>
  <c r="BG404"/>
  <c r="BF404"/>
  <c r="BE404"/>
  <c r="BD404"/>
  <c r="BC404"/>
  <c r="BA404" s="1"/>
  <c r="AZ404" s="1"/>
  <c r="BB404"/>
  <c r="AX404"/>
  <c r="AW404"/>
  <c r="AV404"/>
  <c r="AC404"/>
  <c r="H404"/>
  <c r="G404" s="1"/>
  <c r="BT403"/>
  <c r="BL403" s="1"/>
  <c r="BS403"/>
  <c r="BR403"/>
  <c r="BQ403"/>
  <c r="BP403"/>
  <c r="BO403"/>
  <c r="BN403"/>
  <c r="BM403"/>
  <c r="BK403"/>
  <c r="BJ403"/>
  <c r="BI403"/>
  <c r="BH403"/>
  <c r="BG403"/>
  <c r="BA403" s="1"/>
  <c r="BF403"/>
  <c r="BE403"/>
  <c r="BD403"/>
  <c r="BC403"/>
  <c r="BB403"/>
  <c r="AX403"/>
  <c r="AW403"/>
  <c r="AV403"/>
  <c r="AC403"/>
  <c r="H403"/>
  <c r="G403" s="1"/>
  <c r="BT402"/>
  <c r="BS402"/>
  <c r="BR402"/>
  <c r="BQ402"/>
  <c r="BP402"/>
  <c r="BO402"/>
  <c r="BN402"/>
  <c r="BM402"/>
  <c r="BL402"/>
  <c r="BK402"/>
  <c r="BJ402"/>
  <c r="BA402" s="1"/>
  <c r="AZ402" s="1"/>
  <c r="BI402"/>
  <c r="BH402"/>
  <c r="BG402"/>
  <c r="BF402"/>
  <c r="BE402"/>
  <c r="BD402"/>
  <c r="BC402"/>
  <c r="BB402"/>
  <c r="AX402"/>
  <c r="AW402"/>
  <c r="AV402"/>
  <c r="AC402"/>
  <c r="G402" s="1"/>
  <c r="H402"/>
  <c r="BT401"/>
  <c r="BS401"/>
  <c r="BR401"/>
  <c r="BQ401"/>
  <c r="BP401"/>
  <c r="BO401"/>
  <c r="BN401"/>
  <c r="BM401"/>
  <c r="BK401"/>
  <c r="BJ401"/>
  <c r="BI401"/>
  <c r="BH401"/>
  <c r="BG401"/>
  <c r="BF401"/>
  <c r="BE401"/>
  <c r="BD401"/>
  <c r="BC401"/>
  <c r="BA401" s="1"/>
  <c r="BB401"/>
  <c r="AX401"/>
  <c r="AW401"/>
  <c r="AV401"/>
  <c r="AC401"/>
  <c r="H401"/>
  <c r="G401" s="1"/>
  <c r="BT400"/>
  <c r="BS400"/>
  <c r="BR400"/>
  <c r="BQ400"/>
  <c r="BP400"/>
  <c r="BO400"/>
  <c r="BN400"/>
  <c r="BM400"/>
  <c r="BK400"/>
  <c r="BJ400"/>
  <c r="BI400"/>
  <c r="BH400"/>
  <c r="BG400"/>
  <c r="BF400"/>
  <c r="BE400"/>
  <c r="BD400"/>
  <c r="BC400"/>
  <c r="BB400"/>
  <c r="AX400"/>
  <c r="AW400"/>
  <c r="AV400"/>
  <c r="AC400"/>
  <c r="H400"/>
  <c r="G400"/>
  <c r="BT399"/>
  <c r="BS399"/>
  <c r="BR399"/>
  <c r="BQ399"/>
  <c r="BP399"/>
  <c r="BO399"/>
  <c r="BN399"/>
  <c r="BM399"/>
  <c r="BK399"/>
  <c r="BJ399"/>
  <c r="BI399"/>
  <c r="BH399"/>
  <c r="BG399"/>
  <c r="BF399"/>
  <c r="BE399"/>
  <c r="BD399"/>
  <c r="BC399"/>
  <c r="BB399"/>
  <c r="AX399"/>
  <c r="AW399"/>
  <c r="AV399"/>
  <c r="AC399"/>
  <c r="H399"/>
  <c r="BT398"/>
  <c r="BL398" s="1"/>
  <c r="BS398"/>
  <c r="BR398"/>
  <c r="BQ398"/>
  <c r="BP398"/>
  <c r="BO398"/>
  <c r="BN398"/>
  <c r="BM398"/>
  <c r="BK398"/>
  <c r="BJ398"/>
  <c r="BI398"/>
  <c r="BH398"/>
  <c r="BG398"/>
  <c r="BA398" s="1"/>
  <c r="BF398"/>
  <c r="BE398"/>
  <c r="BD398"/>
  <c r="BC398"/>
  <c r="BB398"/>
  <c r="AX398"/>
  <c r="AW398"/>
  <c r="AV398"/>
  <c r="AC398"/>
  <c r="H398"/>
  <c r="G398" s="1"/>
  <c r="BT397"/>
  <c r="BS397"/>
  <c r="BR397"/>
  <c r="BQ397"/>
  <c r="BP397"/>
  <c r="BO397"/>
  <c r="BN397"/>
  <c r="BL397" s="1"/>
  <c r="BM397"/>
  <c r="BK397"/>
  <c r="BJ397"/>
  <c r="BI397"/>
  <c r="BH397"/>
  <c r="BG397"/>
  <c r="BF397"/>
  <c r="BE397"/>
  <c r="BD397"/>
  <c r="BC397"/>
  <c r="BB397"/>
  <c r="BA397" s="1"/>
  <c r="AX397"/>
  <c r="AW397"/>
  <c r="AV397"/>
  <c r="AC397"/>
  <c r="G397" s="1"/>
  <c r="H397"/>
  <c r="BT396"/>
  <c r="BS396"/>
  <c r="BR396"/>
  <c r="BQ396"/>
  <c r="BP396"/>
  <c r="BO396"/>
  <c r="BN396"/>
  <c r="BM396"/>
  <c r="BK396"/>
  <c r="BJ396"/>
  <c r="BI396"/>
  <c r="BH396"/>
  <c r="BG396"/>
  <c r="BF396"/>
  <c r="BE396"/>
  <c r="BD396"/>
  <c r="BC396"/>
  <c r="BA396" s="1"/>
  <c r="BB396"/>
  <c r="AX396"/>
  <c r="AW396"/>
  <c r="AV396"/>
  <c r="AC396"/>
  <c r="H396"/>
  <c r="G396"/>
  <c r="BT395"/>
  <c r="BS395"/>
  <c r="BR395"/>
  <c r="BQ395"/>
  <c r="BP395"/>
  <c r="BO395"/>
  <c r="BN395"/>
  <c r="BM395"/>
  <c r="BK395"/>
  <c r="BJ395"/>
  <c r="BI395"/>
  <c r="BH395"/>
  <c r="BG395"/>
  <c r="BF395"/>
  <c r="BE395"/>
  <c r="BD395"/>
  <c r="BC395"/>
  <c r="BB395"/>
  <c r="AX395"/>
  <c r="AW395"/>
  <c r="AV395"/>
  <c r="AC395"/>
  <c r="H395"/>
  <c r="G395" s="1"/>
  <c r="BT394"/>
  <c r="BS394"/>
  <c r="BR394"/>
  <c r="BL394" s="1"/>
  <c r="BQ394"/>
  <c r="BP394"/>
  <c r="BO394"/>
  <c r="BN394"/>
  <c r="BM394"/>
  <c r="BK394"/>
  <c r="BJ394"/>
  <c r="BI394"/>
  <c r="BH394"/>
  <c r="BG394"/>
  <c r="BF394"/>
  <c r="BE394"/>
  <c r="BD394"/>
  <c r="BC394"/>
  <c r="BB394"/>
  <c r="BA394" s="1"/>
  <c r="AX394"/>
  <c r="AW394"/>
  <c r="AV394"/>
  <c r="AC394"/>
  <c r="G394" s="1"/>
  <c r="H394"/>
  <c r="BT393"/>
  <c r="BS393"/>
  <c r="BR393"/>
  <c r="BQ393"/>
  <c r="BP393"/>
  <c r="BO393"/>
  <c r="BN393"/>
  <c r="BM393"/>
  <c r="BL393"/>
  <c r="BK393"/>
  <c r="BA393" s="1"/>
  <c r="AZ393" s="1"/>
  <c r="BJ393"/>
  <c r="BI393"/>
  <c r="BH393"/>
  <c r="BG393"/>
  <c r="BF393"/>
  <c r="BE393"/>
  <c r="BD393"/>
  <c r="BC393"/>
  <c r="BB393"/>
  <c r="AX393"/>
  <c r="AW393"/>
  <c r="AV393"/>
  <c r="AC393"/>
  <c r="H393"/>
  <c r="G393" s="1"/>
  <c r="BT392"/>
  <c r="BS392"/>
  <c r="BR392"/>
  <c r="BQ392"/>
  <c r="BP392"/>
  <c r="BO392"/>
  <c r="BN392"/>
  <c r="BM392"/>
  <c r="BL392"/>
  <c r="AZ392" s="1"/>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G391"/>
  <c r="BT390"/>
  <c r="BS390"/>
  <c r="BR390"/>
  <c r="BQ390"/>
  <c r="BP390"/>
  <c r="BO390"/>
  <c r="BN390"/>
  <c r="BM390"/>
  <c r="BK390"/>
  <c r="BJ390"/>
  <c r="BI390"/>
  <c r="BH390"/>
  <c r="BG390"/>
  <c r="BF390"/>
  <c r="BE390"/>
  <c r="BD390"/>
  <c r="BC390"/>
  <c r="BB390"/>
  <c r="AX390"/>
  <c r="AW390"/>
  <c r="AV390"/>
  <c r="AC390"/>
  <c r="H390"/>
  <c r="G390"/>
  <c r="BT389"/>
  <c r="BS389"/>
  <c r="BR389"/>
  <c r="BL389" s="1"/>
  <c r="BQ389"/>
  <c r="BP389"/>
  <c r="BO389"/>
  <c r="BN389"/>
  <c r="BM389"/>
  <c r="BK389"/>
  <c r="BJ389"/>
  <c r="BI389"/>
  <c r="BH389"/>
  <c r="BG389"/>
  <c r="BF389"/>
  <c r="BE389"/>
  <c r="BD389"/>
  <c r="BC389"/>
  <c r="BB389"/>
  <c r="AX389"/>
  <c r="AW389"/>
  <c r="AV389"/>
  <c r="AC389"/>
  <c r="H389"/>
  <c r="G389" s="1"/>
  <c r="H62" i="40"/>
  <c r="I62" s="1"/>
  <c r="C62" s="1"/>
  <c r="H61"/>
  <c r="I6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45" i="21"/>
  <c r="K139" s="1"/>
  <c r="J142"/>
  <c r="J140"/>
  <c r="M87"/>
  <c r="L87"/>
  <c r="K87"/>
  <c r="J87"/>
  <c r="I87"/>
  <c r="H87"/>
  <c r="G87"/>
  <c r="F87"/>
  <c r="E87"/>
  <c r="D87"/>
  <c r="G2" i="46"/>
  <c r="H17" s="1"/>
  <c r="R26" i="31"/>
  <c r="S26"/>
  <c r="R27"/>
  <c r="R28"/>
  <c r="S28"/>
  <c r="R29"/>
  <c r="R30"/>
  <c r="S30"/>
  <c r="R31"/>
  <c r="R32"/>
  <c r="S32" s="1"/>
  <c r="R33"/>
  <c r="R34"/>
  <c r="S34"/>
  <c r="R35"/>
  <c r="R36"/>
  <c r="S36"/>
  <c r="R37"/>
  <c r="R38"/>
  <c r="S38"/>
  <c r="R39"/>
  <c r="R40"/>
  <c r="S40" s="1"/>
  <c r="R41"/>
  <c r="R42"/>
  <c r="S42"/>
  <c r="R43"/>
  <c r="R44"/>
  <c r="S44"/>
  <c r="R45"/>
  <c r="R46"/>
  <c r="S46"/>
  <c r="R47"/>
  <c r="R48"/>
  <c r="S48" s="1"/>
  <c r="R49"/>
  <c r="R50"/>
  <c r="S50"/>
  <c r="R51"/>
  <c r="R52"/>
  <c r="S52"/>
  <c r="R53"/>
  <c r="R54"/>
  <c r="S54"/>
  <c r="R55"/>
  <c r="R56"/>
  <c r="S56" s="1"/>
  <c r="R57"/>
  <c r="R58"/>
  <c r="S58"/>
  <c r="R59"/>
  <c r="R60"/>
  <c r="S60"/>
  <c r="R61"/>
  <c r="R62"/>
  <c r="S62"/>
  <c r="R63"/>
  <c r="R64"/>
  <c r="S64" s="1"/>
  <c r="R65"/>
  <c r="R66"/>
  <c r="S66"/>
  <c r="R67"/>
  <c r="R68"/>
  <c r="S68"/>
  <c r="R69"/>
  <c r="R70"/>
  <c r="S70"/>
  <c r="R71"/>
  <c r="R72"/>
  <c r="S72" s="1"/>
  <c r="R73"/>
  <c r="R74"/>
  <c r="S74"/>
  <c r="R75"/>
  <c r="R76"/>
  <c r="S76"/>
  <c r="R77"/>
  <c r="R78"/>
  <c r="S78"/>
  <c r="R79"/>
  <c r="R80"/>
  <c r="S80" s="1"/>
  <c r="R81"/>
  <c r="R82"/>
  <c r="S82"/>
  <c r="R83"/>
  <c r="R84"/>
  <c r="S84"/>
  <c r="R85"/>
  <c r="R86"/>
  <c r="S86"/>
  <c r="R87"/>
  <c r="R88"/>
  <c r="S88" s="1"/>
  <c r="R89"/>
  <c r="R90"/>
  <c r="S90"/>
  <c r="R91"/>
  <c r="R92"/>
  <c r="S92"/>
  <c r="R93"/>
  <c r="R94"/>
  <c r="S94"/>
  <c r="R95"/>
  <c r="R96"/>
  <c r="S96" s="1"/>
  <c r="R97"/>
  <c r="R98"/>
  <c r="S98"/>
  <c r="R99"/>
  <c r="R100"/>
  <c r="S100"/>
  <c r="R101"/>
  <c r="R102"/>
  <c r="S102"/>
  <c r="R103"/>
  <c r="R104"/>
  <c r="S104" s="1"/>
  <c r="R105"/>
  <c r="R106"/>
  <c r="S106"/>
  <c r="R107"/>
  <c r="R108"/>
  <c r="S108"/>
  <c r="R109"/>
  <c r="R110"/>
  <c r="S110"/>
  <c r="R111"/>
  <c r="R112"/>
  <c r="S112" s="1"/>
  <c r="R113"/>
  <c r="R114"/>
  <c r="S114"/>
  <c r="R115"/>
  <c r="R116"/>
  <c r="S116"/>
  <c r="R117"/>
  <c r="R118"/>
  <c r="S118"/>
  <c r="R119"/>
  <c r="R120"/>
  <c r="S120" s="1"/>
  <c r="R121"/>
  <c r="R122"/>
  <c r="S122"/>
  <c r="R123"/>
  <c r="R124"/>
  <c r="S124"/>
  <c r="R125"/>
  <c r="R126"/>
  <c r="S126"/>
  <c r="R127"/>
  <c r="R128"/>
  <c r="S128" s="1"/>
  <c r="R129"/>
  <c r="R130"/>
  <c r="S130"/>
  <c r="R131"/>
  <c r="R132"/>
  <c r="S132"/>
  <c r="R133"/>
  <c r="R134"/>
  <c r="S134"/>
  <c r="R135"/>
  <c r="R136"/>
  <c r="S136" s="1"/>
  <c r="R137"/>
  <c r="R138"/>
  <c r="S138"/>
  <c r="R139"/>
  <c r="R140"/>
  <c r="S140"/>
  <c r="R141"/>
  <c r="R142"/>
  <c r="S142"/>
  <c r="R143"/>
  <c r="R144"/>
  <c r="S144" s="1"/>
  <c r="R145"/>
  <c r="R146"/>
  <c r="S146"/>
  <c r="R147"/>
  <c r="R148"/>
  <c r="S148"/>
  <c r="R149"/>
  <c r="R150"/>
  <c r="S150"/>
  <c r="R151"/>
  <c r="R152"/>
  <c r="S152" s="1"/>
  <c r="R153"/>
  <c r="R154"/>
  <c r="S154"/>
  <c r="R155"/>
  <c r="R156"/>
  <c r="S156"/>
  <c r="R157"/>
  <c r="R158"/>
  <c r="S158"/>
  <c r="R159"/>
  <c r="R160"/>
  <c r="S160" s="1"/>
  <c r="R161"/>
  <c r="R162"/>
  <c r="S162"/>
  <c r="R163"/>
  <c r="R164"/>
  <c r="S164"/>
  <c r="R165"/>
  <c r="R166"/>
  <c r="S166"/>
  <c r="R167"/>
  <c r="R168"/>
  <c r="S168" s="1"/>
  <c r="R169"/>
  <c r="R170"/>
  <c r="S170"/>
  <c r="R171"/>
  <c r="R172"/>
  <c r="S172"/>
  <c r="R173"/>
  <c r="R174"/>
  <c r="S174"/>
  <c r="R175"/>
  <c r="R176"/>
  <c r="S176" s="1"/>
  <c r="R177"/>
  <c r="R178"/>
  <c r="S178"/>
  <c r="R179"/>
  <c r="R180"/>
  <c r="S180"/>
  <c r="R181"/>
  <c r="R182"/>
  <c r="S182"/>
  <c r="R183"/>
  <c r="R184"/>
  <c r="S184" s="1"/>
  <c r="R185"/>
  <c r="R186"/>
  <c r="S186"/>
  <c r="R187"/>
  <c r="R188"/>
  <c r="S188"/>
  <c r="R189"/>
  <c r="R190"/>
  <c r="S190"/>
  <c r="R191"/>
  <c r="R192"/>
  <c r="S192" s="1"/>
  <c r="R193"/>
  <c r="R194"/>
  <c r="S194"/>
  <c r="R195"/>
  <c r="R196"/>
  <c r="S196"/>
  <c r="R197"/>
  <c r="R198"/>
  <c r="S198"/>
  <c r="R199"/>
  <c r="R200"/>
  <c r="S200" s="1"/>
  <c r="R201"/>
  <c r="R202"/>
  <c r="S202"/>
  <c r="R203"/>
  <c r="R204"/>
  <c r="S204"/>
  <c r="R205"/>
  <c r="R206"/>
  <c r="S206"/>
  <c r="R207"/>
  <c r="R208"/>
  <c r="S208" s="1"/>
  <c r="R209"/>
  <c r="R210"/>
  <c r="S210"/>
  <c r="R211"/>
  <c r="R212"/>
  <c r="S212"/>
  <c r="R213"/>
  <c r="R214"/>
  <c r="S214"/>
  <c r="R215"/>
  <c r="R216"/>
  <c r="S216" s="1"/>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c r="R431"/>
  <c r="R432"/>
  <c r="S432" s="1"/>
  <c r="R433"/>
  <c r="R434"/>
  <c r="S434" s="1"/>
  <c r="R435"/>
  <c r="R436"/>
  <c r="S436" s="1"/>
  <c r="R437"/>
  <c r="R438"/>
  <c r="S438"/>
  <c r="R439"/>
  <c r="R440"/>
  <c r="S440"/>
  <c r="R441"/>
  <c r="R442"/>
  <c r="S442" s="1"/>
  <c r="R443"/>
  <c r="R444"/>
  <c r="S444" s="1"/>
  <c r="R445"/>
  <c r="R446"/>
  <c r="S446"/>
  <c r="R447"/>
  <c r="R448"/>
  <c r="S448"/>
  <c r="R449"/>
  <c r="R450"/>
  <c r="S450" s="1"/>
  <c r="R451"/>
  <c r="R452"/>
  <c r="S452" s="1"/>
  <c r="R453"/>
  <c r="R454"/>
  <c r="S454"/>
  <c r="R455"/>
  <c r="R456"/>
  <c r="S456"/>
  <c r="R457"/>
  <c r="R458"/>
  <c r="S458" s="1"/>
  <c r="R459"/>
  <c r="R460"/>
  <c r="S460" s="1"/>
  <c r="R461"/>
  <c r="R462"/>
  <c r="S462"/>
  <c r="R463"/>
  <c r="R464"/>
  <c r="S464" s="1"/>
  <c r="R465"/>
  <c r="R466"/>
  <c r="S466"/>
  <c r="R467"/>
  <c r="R468"/>
  <c r="S468" s="1"/>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s="1"/>
  <c r="R501"/>
  <c r="R502"/>
  <c r="S502" s="1"/>
  <c r="R503"/>
  <c r="R504"/>
  <c r="S504"/>
  <c r="R505"/>
  <c r="R506"/>
  <c r="S506"/>
  <c r="R507"/>
  <c r="R508"/>
  <c r="S508" s="1"/>
  <c r="R509"/>
  <c r="R510"/>
  <c r="S510" s="1"/>
  <c r="R511"/>
  <c r="R512"/>
  <c r="S512"/>
  <c r="R513"/>
  <c r="R514"/>
  <c r="S514"/>
  <c r="R515"/>
  <c r="R516"/>
  <c r="S516" s="1"/>
  <c r="R517"/>
  <c r="R518"/>
  <c r="S518" s="1"/>
  <c r="R519"/>
  <c r="R520"/>
  <c r="S520"/>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19"/>
  <c r="F9" i="1"/>
  <c r="AP9" s="1"/>
  <c r="F19" i="4"/>
  <c r="F8" i="1" s="1"/>
  <c r="E19" i="4"/>
  <c r="F7" i="1" s="1"/>
  <c r="I20" i="71" s="1"/>
  <c r="B2" i="52"/>
  <c r="I2" i="46"/>
  <c r="N12" s="1"/>
  <c r="A7"/>
  <c r="F41" i="4"/>
  <c r="J52" i="40"/>
  <c r="H61" i="49"/>
  <c r="H39" i="46"/>
  <c r="H38"/>
  <c r="H37"/>
  <c r="H36"/>
  <c r="H35"/>
  <c r="H34"/>
  <c r="H33"/>
  <c r="J20"/>
  <c r="C18"/>
  <c r="F15"/>
  <c r="E15"/>
  <c r="D15"/>
  <c r="C15"/>
  <c r="C10"/>
  <c r="C11" s="1"/>
  <c r="C9"/>
  <c r="E19" i="6"/>
  <c r="E32" s="1"/>
  <c r="E22"/>
  <c r="E23"/>
  <c r="E24"/>
  <c r="E25"/>
  <c r="E26"/>
  <c r="C35" i="4"/>
  <c r="E16" i="12"/>
  <c r="F14"/>
  <c r="F15"/>
  <c r="F17"/>
  <c r="E21"/>
  <c r="E22"/>
  <c r="F23"/>
  <c r="F24"/>
  <c r="C43" i="9"/>
  <c r="K47" s="1"/>
  <c r="B65" i="63"/>
  <c r="I73" i="9"/>
  <c r="F73"/>
  <c r="P73" s="1"/>
  <c r="D107"/>
  <c r="C107" s="1"/>
  <c r="C105" s="1"/>
  <c r="C110" s="1"/>
  <c r="C17"/>
  <c r="D17"/>
  <c r="C18" s="1"/>
  <c r="F17" i="44"/>
  <c r="F19"/>
  <c r="F22"/>
  <c r="F25"/>
  <c r="D25" s="1"/>
  <c r="F23"/>
  <c r="E16" i="43"/>
  <c r="F14"/>
  <c r="F15"/>
  <c r="F17"/>
  <c r="F19"/>
  <c r="F20"/>
  <c r="C20" s="1"/>
  <c r="F10" i="40"/>
  <c r="AA10" s="1"/>
  <c r="F11"/>
  <c r="AA11" s="1"/>
  <c r="C21"/>
  <c r="C32"/>
  <c r="H32" s="1"/>
  <c r="F36"/>
  <c r="AA36"/>
  <c r="H10"/>
  <c r="AB10"/>
  <c r="H11"/>
  <c r="AB11"/>
  <c r="H36"/>
  <c r="AB36" s="1"/>
  <c r="J10"/>
  <c r="AC10" s="1"/>
  <c r="J11"/>
  <c r="AC11"/>
  <c r="J36"/>
  <c r="AC36"/>
  <c r="F10" i="39"/>
  <c r="AA10"/>
  <c r="F11"/>
  <c r="AA11" s="1"/>
  <c r="C25"/>
  <c r="F36"/>
  <c r="AA36"/>
  <c r="F40"/>
  <c r="AA40"/>
  <c r="F42"/>
  <c r="AA42" s="1"/>
  <c r="H10"/>
  <c r="AB10" s="1"/>
  <c r="H11"/>
  <c r="AB11" s="1"/>
  <c r="H36"/>
  <c r="AB36" s="1"/>
  <c r="H40"/>
  <c r="AB40" s="1"/>
  <c r="H42"/>
  <c r="AB42" s="1"/>
  <c r="J10"/>
  <c r="AC10"/>
  <c r="J11"/>
  <c r="AC11" s="1"/>
  <c r="J36"/>
  <c r="AC36" s="1"/>
  <c r="J40"/>
  <c r="AC40"/>
  <c r="J42"/>
  <c r="AC42"/>
  <c r="F35" i="44"/>
  <c r="M21"/>
  <c r="F20"/>
  <c r="K9" i="43"/>
  <c r="J9"/>
  <c r="I9"/>
  <c r="H9"/>
  <c r="G9"/>
  <c r="F9"/>
  <c r="E9"/>
  <c r="D9"/>
  <c r="C9"/>
  <c r="C6" s="1"/>
  <c r="BC13" i="3"/>
  <c r="BB13"/>
  <c r="BR13"/>
  <c r="B24" i="1"/>
  <c r="O75" i="9"/>
  <c r="L75"/>
  <c r="P75"/>
  <c r="O74"/>
  <c r="O73"/>
  <c r="E66"/>
  <c r="O72" s="1"/>
  <c r="F74"/>
  <c r="P74" s="1"/>
  <c r="K44"/>
  <c r="K43"/>
  <c r="B22" i="1"/>
  <c r="G22" i="43" s="1"/>
  <c r="B23" i="1"/>
  <c r="BM14" i="3"/>
  <c r="BL14" s="1"/>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I48" i="37"/>
  <c r="J48"/>
  <c r="G48"/>
  <c r="H48"/>
  <c r="E48"/>
  <c r="F48"/>
  <c r="I55" i="34"/>
  <c r="J55" s="1"/>
  <c r="G55"/>
  <c r="H55" s="1"/>
  <c r="E55"/>
  <c r="F55" s="1"/>
  <c r="I50" i="40"/>
  <c r="J50"/>
  <c r="G50"/>
  <c r="H50"/>
  <c r="E50"/>
  <c r="F50" s="1"/>
  <c r="I55" i="39"/>
  <c r="J55" s="1"/>
  <c r="G55"/>
  <c r="H55"/>
  <c r="E55"/>
  <c r="F55"/>
  <c r="I42" i="36"/>
  <c r="J42"/>
  <c r="G42"/>
  <c r="H42"/>
  <c r="E42"/>
  <c r="F42" s="1"/>
  <c r="I44" i="35"/>
  <c r="J44" s="1"/>
  <c r="G44"/>
  <c r="H44"/>
  <c r="E44"/>
  <c r="F44"/>
  <c r="I54" i="33"/>
  <c r="J54" s="1"/>
  <c r="G54"/>
  <c r="E54"/>
  <c r="F54"/>
  <c r="H14" i="3"/>
  <c r="G14" s="1"/>
  <c r="AC14"/>
  <c r="H15"/>
  <c r="AC15"/>
  <c r="G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G503" s="1"/>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G509" s="1"/>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G533" s="1"/>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L534" s="1"/>
  <c r="BO534"/>
  <c r="BP534"/>
  <c r="BR534"/>
  <c r="BS534"/>
  <c r="BT534"/>
  <c r="H535"/>
  <c r="AC535"/>
  <c r="G535" s="1"/>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c r="F30"/>
  <c r="AA30"/>
  <c r="C26" i="35"/>
  <c r="C79" s="1"/>
  <c r="J31"/>
  <c r="H31"/>
  <c r="F31"/>
  <c r="D87"/>
  <c r="E87" s="1"/>
  <c r="F87" s="1"/>
  <c r="G87" s="1"/>
  <c r="H87" s="1"/>
  <c r="I87" s="1"/>
  <c r="J87" s="1"/>
  <c r="K87" s="1"/>
  <c r="L87" s="1"/>
  <c r="M87" s="1"/>
  <c r="H34" i="37"/>
  <c r="AB34" s="1"/>
  <c r="D101"/>
  <c r="F34"/>
  <c r="D99"/>
  <c r="E99"/>
  <c r="H42" i="34"/>
  <c r="J42"/>
  <c r="F42"/>
  <c r="J38"/>
  <c r="W38" s="1"/>
  <c r="D114"/>
  <c r="F38"/>
  <c r="S38" s="1"/>
  <c r="D112"/>
  <c r="E112" s="1"/>
  <c r="F112" s="1"/>
  <c r="G112" s="1"/>
  <c r="F40" i="33"/>
  <c r="J41"/>
  <c r="AC41" s="1"/>
  <c r="D113"/>
  <c r="D111"/>
  <c r="E111" s="1"/>
  <c r="S515" i="31"/>
  <c r="S517"/>
  <c r="S519"/>
  <c r="S521"/>
  <c r="S523"/>
  <c r="F41" i="21"/>
  <c r="J41"/>
  <c r="H41"/>
  <c r="U41"/>
  <c r="D83" i="39"/>
  <c r="E83"/>
  <c r="F83"/>
  <c r="G83"/>
  <c r="H83" s="1"/>
  <c r="I83" s="1"/>
  <c r="J83"/>
  <c r="K83" s="1"/>
  <c r="L83"/>
  <c r="M83" s="1"/>
  <c r="D78" i="40"/>
  <c r="F13"/>
  <c r="S13" s="1"/>
  <c r="B122"/>
  <c r="F42"/>
  <c r="AA42"/>
  <c r="B120"/>
  <c r="B118"/>
  <c r="F40"/>
  <c r="AA40" s="1"/>
  <c r="D117"/>
  <c r="E117" s="1"/>
  <c r="F117" s="1"/>
  <c r="G117" s="1"/>
  <c r="H117" s="1"/>
  <c r="I117" s="1"/>
  <c r="J117" s="1"/>
  <c r="K117" s="1"/>
  <c r="L117" s="1"/>
  <c r="M117" s="1"/>
  <c r="D115"/>
  <c r="E115" s="1"/>
  <c r="F115" s="1"/>
  <c r="G115" s="1"/>
  <c r="H115" s="1"/>
  <c r="I115" s="1"/>
  <c r="J115" s="1"/>
  <c r="K115" s="1"/>
  <c r="L115" s="1"/>
  <c r="M115" s="1"/>
  <c r="J38"/>
  <c r="AC38"/>
  <c r="H38"/>
  <c r="AB38" s="1"/>
  <c r="D113"/>
  <c r="E113" s="1"/>
  <c r="F113" s="1"/>
  <c r="M109"/>
  <c r="L109"/>
  <c r="K109"/>
  <c r="J109"/>
  <c r="I109"/>
  <c r="H109"/>
  <c r="G109"/>
  <c r="F109"/>
  <c r="E109"/>
  <c r="D109"/>
  <c r="C109"/>
  <c r="B107"/>
  <c r="B105"/>
  <c r="F34" s="1"/>
  <c r="AA34" s="1"/>
  <c r="B103"/>
  <c r="D102"/>
  <c r="E102" s="1"/>
  <c r="F102" s="1"/>
  <c r="G102"/>
  <c r="H102" s="1"/>
  <c r="I102" s="1"/>
  <c r="J102" s="1"/>
  <c r="K102" s="1"/>
  <c r="L102" s="1"/>
  <c r="M102" s="1"/>
  <c r="D100"/>
  <c r="E100"/>
  <c r="D98"/>
  <c r="E98" s="1"/>
  <c r="B97"/>
  <c r="D94"/>
  <c r="D92"/>
  <c r="D90"/>
  <c r="H21"/>
  <c r="AB21" s="1"/>
  <c r="D88"/>
  <c r="E88" s="1"/>
  <c r="D86"/>
  <c r="E86"/>
  <c r="J17"/>
  <c r="B83"/>
  <c r="F16"/>
  <c r="AA16"/>
  <c r="B81"/>
  <c r="B79"/>
  <c r="F14" s="1"/>
  <c r="AA14" s="1"/>
  <c r="M76"/>
  <c r="L76"/>
  <c r="K76"/>
  <c r="J76"/>
  <c r="I76"/>
  <c r="H76"/>
  <c r="G76"/>
  <c r="F76"/>
  <c r="E76"/>
  <c r="D76"/>
  <c r="C76"/>
  <c r="P45"/>
  <c r="P44"/>
  <c r="V43"/>
  <c r="T43"/>
  <c r="R43"/>
  <c r="P43"/>
  <c r="Q42"/>
  <c r="Z42"/>
  <c r="Q41"/>
  <c r="Z41" s="1"/>
  <c r="Q40"/>
  <c r="Z40" s="1"/>
  <c r="Q39"/>
  <c r="Z39"/>
  <c r="Q38"/>
  <c r="Z38"/>
  <c r="Q37"/>
  <c r="Z37"/>
  <c r="Q36"/>
  <c r="Z36"/>
  <c r="Q35"/>
  <c r="Z35" s="1"/>
  <c r="Q34"/>
  <c r="Z34" s="1"/>
  <c r="Q33"/>
  <c r="Z33"/>
  <c r="Q32"/>
  <c r="Z32"/>
  <c r="Q30"/>
  <c r="Z30"/>
  <c r="Q29"/>
  <c r="Z29"/>
  <c r="Q25"/>
  <c r="Z25" s="1"/>
  <c r="Q23"/>
  <c r="Z23" s="1"/>
  <c r="Q21"/>
  <c r="Z21"/>
  <c r="Q19"/>
  <c r="Z19"/>
  <c r="Q17"/>
  <c r="Z17"/>
  <c r="Q16"/>
  <c r="Z16"/>
  <c r="Q15"/>
  <c r="Z15" s="1"/>
  <c r="Q14"/>
  <c r="Z14" s="1"/>
  <c r="Q13"/>
  <c r="Z13"/>
  <c r="Q12"/>
  <c r="Z12"/>
  <c r="Q11"/>
  <c r="Z11"/>
  <c r="D126" i="39"/>
  <c r="E126"/>
  <c r="F126" s="1"/>
  <c r="G126"/>
  <c r="H126" s="1"/>
  <c r="I126" s="1"/>
  <c r="J126" s="1"/>
  <c r="K126" s="1"/>
  <c r="L126" s="1"/>
  <c r="M126" s="1"/>
  <c r="D122"/>
  <c r="E122" s="1"/>
  <c r="F122" s="1"/>
  <c r="G122" s="1"/>
  <c r="H122" s="1"/>
  <c r="I122" s="1"/>
  <c r="J122" s="1"/>
  <c r="K122" s="1"/>
  <c r="L122" s="1"/>
  <c r="M122" s="1"/>
  <c r="B116"/>
  <c r="D111"/>
  <c r="E111"/>
  <c r="F111" s="1"/>
  <c r="G111" s="1"/>
  <c r="H111"/>
  <c r="I111" s="1"/>
  <c r="J111" s="1"/>
  <c r="K111" s="1"/>
  <c r="L111" s="1"/>
  <c r="M111" s="1"/>
  <c r="D109"/>
  <c r="E109"/>
  <c r="F109"/>
  <c r="G109"/>
  <c r="H109" s="1"/>
  <c r="I109" s="1"/>
  <c r="J109" s="1"/>
  <c r="K109" s="1"/>
  <c r="L109" s="1"/>
  <c r="M109" s="1"/>
  <c r="D107"/>
  <c r="E107"/>
  <c r="F107" s="1"/>
  <c r="G107" s="1"/>
  <c r="H107" s="1"/>
  <c r="I107"/>
  <c r="J107" s="1"/>
  <c r="K107" s="1"/>
  <c r="L107" s="1"/>
  <c r="M107" s="1"/>
  <c r="D103"/>
  <c r="D101"/>
  <c r="E101" s="1"/>
  <c r="F101" s="1"/>
  <c r="G101" s="1"/>
  <c r="Q41"/>
  <c r="Z41"/>
  <c r="Q42"/>
  <c r="Z42" s="1"/>
  <c r="Q43"/>
  <c r="Q44"/>
  <c r="Z44" s="1"/>
  <c r="Q45"/>
  <c r="Z45" s="1"/>
  <c r="Q46"/>
  <c r="Z46"/>
  <c r="Q47"/>
  <c r="Z47"/>
  <c r="Q40"/>
  <c r="Z40"/>
  <c r="Q38"/>
  <c r="Z38"/>
  <c r="Q39"/>
  <c r="Z39" s="1"/>
  <c r="Z43"/>
  <c r="M118"/>
  <c r="L118"/>
  <c r="K118"/>
  <c r="J118"/>
  <c r="I118"/>
  <c r="H118"/>
  <c r="G118"/>
  <c r="F118"/>
  <c r="E118"/>
  <c r="D118"/>
  <c r="C118"/>
  <c r="B133"/>
  <c r="B131"/>
  <c r="B129"/>
  <c r="D128"/>
  <c r="D124"/>
  <c r="E124"/>
  <c r="F124"/>
  <c r="G124"/>
  <c r="H124" s="1"/>
  <c r="I124" s="1"/>
  <c r="J124" s="1"/>
  <c r="K124" s="1"/>
  <c r="L124" s="1"/>
  <c r="M124" s="1"/>
  <c r="B106"/>
  <c r="D99"/>
  <c r="E99" s="1"/>
  <c r="F99" s="1"/>
  <c r="G99" s="1"/>
  <c r="D97"/>
  <c r="D95"/>
  <c r="E95"/>
  <c r="F95"/>
  <c r="G95" s="1"/>
  <c r="D93"/>
  <c r="E93" s="1"/>
  <c r="F93" s="1"/>
  <c r="G93" s="1"/>
  <c r="D91"/>
  <c r="E91"/>
  <c r="F91"/>
  <c r="G91"/>
  <c r="B88"/>
  <c r="B86"/>
  <c r="B84"/>
  <c r="M81"/>
  <c r="L81"/>
  <c r="K81"/>
  <c r="J81"/>
  <c r="I81"/>
  <c r="H81"/>
  <c r="G81"/>
  <c r="F81"/>
  <c r="E81"/>
  <c r="D81"/>
  <c r="C81"/>
  <c r="P50"/>
  <c r="P49"/>
  <c r="V48"/>
  <c r="T48"/>
  <c r="R48"/>
  <c r="P48"/>
  <c r="Q37"/>
  <c r="Z37"/>
  <c r="Q36"/>
  <c r="Z36"/>
  <c r="Q34"/>
  <c r="Z34"/>
  <c r="Q33"/>
  <c r="Z33" s="1"/>
  <c r="Q29"/>
  <c r="Z29" s="1"/>
  <c r="Q27"/>
  <c r="Z27"/>
  <c r="Q25"/>
  <c r="Z25"/>
  <c r="Q23"/>
  <c r="Z23"/>
  <c r="Q21"/>
  <c r="Z21"/>
  <c r="Q19"/>
  <c r="Z19" s="1"/>
  <c r="Q17"/>
  <c r="Z17" s="1"/>
  <c r="Q16"/>
  <c r="Z16"/>
  <c r="Q15"/>
  <c r="Z15"/>
  <c r="Q14"/>
  <c r="Z14"/>
  <c r="Q13"/>
  <c r="Z13"/>
  <c r="Q12"/>
  <c r="Z12" s="1"/>
  <c r="Q11"/>
  <c r="Z11" s="1"/>
  <c r="U10"/>
  <c r="C20" i="36"/>
  <c r="C20" i="35"/>
  <c r="C16" i="36"/>
  <c r="C16" i="35"/>
  <c r="C14" i="36"/>
  <c r="C14" i="35"/>
  <c r="B80" i="37"/>
  <c r="B110"/>
  <c r="J39" s="1"/>
  <c r="AC39" s="1"/>
  <c r="B108"/>
  <c r="C23"/>
  <c r="C19"/>
  <c r="C17"/>
  <c r="C15"/>
  <c r="B112"/>
  <c r="D107"/>
  <c r="E107" s="1"/>
  <c r="D105"/>
  <c r="E105" s="1"/>
  <c r="H36"/>
  <c r="D103"/>
  <c r="J35"/>
  <c r="AC35"/>
  <c r="F97"/>
  <c r="E97"/>
  <c r="D97"/>
  <c r="C97"/>
  <c r="D96"/>
  <c r="E96" s="1"/>
  <c r="D94"/>
  <c r="M90"/>
  <c r="L90"/>
  <c r="K90"/>
  <c r="J90"/>
  <c r="I90"/>
  <c r="H90"/>
  <c r="G90"/>
  <c r="F90"/>
  <c r="E90"/>
  <c r="D90"/>
  <c r="C90"/>
  <c r="D89"/>
  <c r="B86"/>
  <c r="B84"/>
  <c r="H27"/>
  <c r="U27" s="1"/>
  <c r="B82"/>
  <c r="D79"/>
  <c r="E79"/>
  <c r="D75"/>
  <c r="E75"/>
  <c r="F75"/>
  <c r="D73"/>
  <c r="E73"/>
  <c r="F73" s="1"/>
  <c r="G73" s="1"/>
  <c r="D71"/>
  <c r="E71" s="1"/>
  <c r="F71" s="1"/>
  <c r="G71" s="1"/>
  <c r="F15"/>
  <c r="AA15" s="1"/>
  <c r="B68"/>
  <c r="H14"/>
  <c r="U14" s="1"/>
  <c r="B66"/>
  <c r="B64"/>
  <c r="D63"/>
  <c r="E63"/>
  <c r="F63" s="1"/>
  <c r="G63" s="1"/>
  <c r="H63" s="1"/>
  <c r="I63" s="1"/>
  <c r="J63" s="1"/>
  <c r="K63" s="1"/>
  <c r="L63" s="1"/>
  <c r="M63" s="1"/>
  <c r="M61"/>
  <c r="L61"/>
  <c r="K61"/>
  <c r="J61"/>
  <c r="I61"/>
  <c r="H61"/>
  <c r="G61"/>
  <c r="F61"/>
  <c r="E61"/>
  <c r="D61"/>
  <c r="C61"/>
  <c r="F60"/>
  <c r="G60"/>
  <c r="H60" s="1"/>
  <c r="I60" s="1"/>
  <c r="H10"/>
  <c r="U10" s="1"/>
  <c r="C57"/>
  <c r="P43"/>
  <c r="P42"/>
  <c r="V41"/>
  <c r="T41"/>
  <c r="R41"/>
  <c r="P41"/>
  <c r="Q40"/>
  <c r="Z40" s="1"/>
  <c r="Q39"/>
  <c r="Z39"/>
  <c r="Q38"/>
  <c r="Z38"/>
  <c r="Q37"/>
  <c r="Z37"/>
  <c r="Q36"/>
  <c r="Z36"/>
  <c r="Q35"/>
  <c r="Z35" s="1"/>
  <c r="Q34"/>
  <c r="Z34" s="1"/>
  <c r="Q33"/>
  <c r="Z33"/>
  <c r="Q32"/>
  <c r="Z32"/>
  <c r="Q31"/>
  <c r="Z31"/>
  <c r="J31"/>
  <c r="Q30"/>
  <c r="Z30"/>
  <c r="J30"/>
  <c r="W30"/>
  <c r="H30"/>
  <c r="AB30" s="1"/>
  <c r="F30"/>
  <c r="Q29"/>
  <c r="Z29"/>
  <c r="H29"/>
  <c r="U29"/>
  <c r="Q28"/>
  <c r="Z28"/>
  <c r="Q27"/>
  <c r="Z27" s="1"/>
  <c r="Q26"/>
  <c r="Z26" s="1"/>
  <c r="J26"/>
  <c r="H26"/>
  <c r="AB26" s="1"/>
  <c r="F26"/>
  <c r="AA26"/>
  <c r="Q25"/>
  <c r="Z25" s="1"/>
  <c r="Q23"/>
  <c r="Z23" s="1"/>
  <c r="Q19"/>
  <c r="Z19" s="1"/>
  <c r="Q17"/>
  <c r="Z17"/>
  <c r="Q15"/>
  <c r="Z15" s="1"/>
  <c r="Q14"/>
  <c r="Z14"/>
  <c r="Q13"/>
  <c r="Z13"/>
  <c r="Q12"/>
  <c r="Z12" s="1"/>
  <c r="Q11"/>
  <c r="Z11" s="1"/>
  <c r="Q10"/>
  <c r="Z10"/>
  <c r="F10"/>
  <c r="AA10" s="1"/>
  <c r="Q9"/>
  <c r="Z9"/>
  <c r="J8"/>
  <c r="W8"/>
  <c r="H8"/>
  <c r="AB8" s="1"/>
  <c r="F8"/>
  <c r="J31" i="36"/>
  <c r="W31"/>
  <c r="H31"/>
  <c r="AB31" s="1"/>
  <c r="F31"/>
  <c r="S31"/>
  <c r="M86"/>
  <c r="L86"/>
  <c r="K86"/>
  <c r="J86"/>
  <c r="I86"/>
  <c r="H86"/>
  <c r="G86"/>
  <c r="F86"/>
  <c r="E86"/>
  <c r="D86"/>
  <c r="C86"/>
  <c r="D85"/>
  <c r="E85" s="1"/>
  <c r="F85" s="1"/>
  <c r="H29"/>
  <c r="AB29"/>
  <c r="D81"/>
  <c r="E81" s="1"/>
  <c r="F81" s="1"/>
  <c r="G81" s="1"/>
  <c r="H81" s="1"/>
  <c r="I81" s="1"/>
  <c r="J81" s="1"/>
  <c r="K81" s="1"/>
  <c r="L81" s="1"/>
  <c r="M81" s="1"/>
  <c r="F79"/>
  <c r="E79"/>
  <c r="D79"/>
  <c r="C79"/>
  <c r="B93"/>
  <c r="B91"/>
  <c r="F32"/>
  <c r="S32"/>
  <c r="B95"/>
  <c r="D83"/>
  <c r="E83"/>
  <c r="F83" s="1"/>
  <c r="G83" s="1"/>
  <c r="H83" s="1"/>
  <c r="I83" s="1"/>
  <c r="J83" s="1"/>
  <c r="K83" s="1"/>
  <c r="L83" s="1"/>
  <c r="M83" s="1"/>
  <c r="D78"/>
  <c r="J26"/>
  <c r="W26"/>
  <c r="B75"/>
  <c r="J25" s="1"/>
  <c r="B73"/>
  <c r="J24"/>
  <c r="W24" s="1"/>
  <c r="B71"/>
  <c r="D70"/>
  <c r="H22"/>
  <c r="AB22"/>
  <c r="D68"/>
  <c r="E68"/>
  <c r="D64"/>
  <c r="E64"/>
  <c r="F64"/>
  <c r="G64" s="1"/>
  <c r="J16"/>
  <c r="D62"/>
  <c r="E62" s="1"/>
  <c r="B59"/>
  <c r="J13" s="1"/>
  <c r="B57"/>
  <c r="J12"/>
  <c r="B55"/>
  <c r="F54"/>
  <c r="G54" s="1"/>
  <c r="H54" s="1"/>
  <c r="I54" s="1"/>
  <c r="J10"/>
  <c r="W10"/>
  <c r="C51"/>
  <c r="J9" s="1"/>
  <c r="AC9" s="1"/>
  <c r="P37"/>
  <c r="P36"/>
  <c r="V35"/>
  <c r="T35"/>
  <c r="R35"/>
  <c r="P35"/>
  <c r="Q34"/>
  <c r="Z34"/>
  <c r="Q33"/>
  <c r="Z33"/>
  <c r="Q32"/>
  <c r="Z32" s="1"/>
  <c r="Q31"/>
  <c r="Z31"/>
  <c r="Q30"/>
  <c r="Z30"/>
  <c r="Q29"/>
  <c r="Z29"/>
  <c r="Q28"/>
  <c r="Z28"/>
  <c r="J28"/>
  <c r="AC28" s="1"/>
  <c r="Q27"/>
  <c r="Z27" s="1"/>
  <c r="Q26"/>
  <c r="Z26"/>
  <c r="H26"/>
  <c r="AB26"/>
  <c r="Q25"/>
  <c r="Z25"/>
  <c r="Q24"/>
  <c r="Z24"/>
  <c r="H24"/>
  <c r="AB24"/>
  <c r="Q23"/>
  <c r="Z23" s="1"/>
  <c r="J23"/>
  <c r="AC23"/>
  <c r="H23"/>
  <c r="AB23"/>
  <c r="F23"/>
  <c r="AA23"/>
  <c r="Q22"/>
  <c r="Z22"/>
  <c r="J22"/>
  <c r="AC22" s="1"/>
  <c r="Q20"/>
  <c r="Z20" s="1"/>
  <c r="Q16"/>
  <c r="Z16"/>
  <c r="Q14"/>
  <c r="Z14"/>
  <c r="Q13"/>
  <c r="Z13"/>
  <c r="Q12"/>
  <c r="Z12"/>
  <c r="H12"/>
  <c r="U12" s="1"/>
  <c r="Q11"/>
  <c r="Z11" s="1"/>
  <c r="Q10"/>
  <c r="Z10"/>
  <c r="F10"/>
  <c r="AA10" s="1"/>
  <c r="Q9"/>
  <c r="Z9"/>
  <c r="H9"/>
  <c r="AB9"/>
  <c r="F9"/>
  <c r="AA9" s="1"/>
  <c r="J8"/>
  <c r="AC8"/>
  <c r="H8"/>
  <c r="U8" s="1"/>
  <c r="F8"/>
  <c r="AA8"/>
  <c r="D89" i="35"/>
  <c r="H30"/>
  <c r="U30"/>
  <c r="M90"/>
  <c r="L90"/>
  <c r="K90"/>
  <c r="J90"/>
  <c r="I90"/>
  <c r="H90"/>
  <c r="G90"/>
  <c r="F90"/>
  <c r="E90"/>
  <c r="D90"/>
  <c r="C90"/>
  <c r="F85"/>
  <c r="E85"/>
  <c r="D85"/>
  <c r="C85"/>
  <c r="J27"/>
  <c r="W27"/>
  <c r="H27"/>
  <c r="U27"/>
  <c r="F27"/>
  <c r="AA27" s="1"/>
  <c r="J22"/>
  <c r="AC22"/>
  <c r="B101"/>
  <c r="J36" s="1"/>
  <c r="AC36" s="1"/>
  <c r="H36"/>
  <c r="B99"/>
  <c r="B97"/>
  <c r="B77"/>
  <c r="J25" s="1"/>
  <c r="W25" s="1"/>
  <c r="B75"/>
  <c r="J24" s="1"/>
  <c r="AC24" s="1"/>
  <c r="B73"/>
  <c r="J23" s="1"/>
  <c r="B57"/>
  <c r="B61"/>
  <c r="B59"/>
  <c r="F12" s="1"/>
  <c r="AA12" s="1"/>
  <c r="B131" i="34"/>
  <c r="H47" s="1"/>
  <c r="B129"/>
  <c r="B127"/>
  <c r="B99"/>
  <c r="B97"/>
  <c r="J31" s="1"/>
  <c r="B95"/>
  <c r="B93"/>
  <c r="B75"/>
  <c r="B73"/>
  <c r="B71"/>
  <c r="B130" i="33"/>
  <c r="J46" s="1"/>
  <c r="AC46" s="1"/>
  <c r="B128"/>
  <c r="F45" s="1"/>
  <c r="S45" s="1"/>
  <c r="H45"/>
  <c r="U45" s="1"/>
  <c r="B126"/>
  <c r="B98"/>
  <c r="F31"/>
  <c r="AA31" s="1"/>
  <c r="B96"/>
  <c r="B94"/>
  <c r="B74"/>
  <c r="B72"/>
  <c r="B70"/>
  <c r="D96" i="35"/>
  <c r="E96"/>
  <c r="F96" s="1"/>
  <c r="G96" s="1"/>
  <c r="D94"/>
  <c r="D84"/>
  <c r="E84"/>
  <c r="F84"/>
  <c r="G84" s="1"/>
  <c r="H84" s="1"/>
  <c r="I84"/>
  <c r="J84" s="1"/>
  <c r="K84" s="1"/>
  <c r="L84" s="1"/>
  <c r="M84" s="1"/>
  <c r="D80"/>
  <c r="D72"/>
  <c r="D70"/>
  <c r="E70"/>
  <c r="F70"/>
  <c r="G70" s="1"/>
  <c r="D66"/>
  <c r="E66"/>
  <c r="F66" s="1"/>
  <c r="G66" s="1"/>
  <c r="D64"/>
  <c r="E64"/>
  <c r="F64"/>
  <c r="G64" s="1"/>
  <c r="F56"/>
  <c r="G56"/>
  <c r="H56" s="1"/>
  <c r="I56" s="1"/>
  <c r="C53"/>
  <c r="J9" s="1"/>
  <c r="H9"/>
  <c r="AB9" s="1"/>
  <c r="P39"/>
  <c r="P38"/>
  <c r="V37"/>
  <c r="T37"/>
  <c r="R37"/>
  <c r="P37"/>
  <c r="Q36"/>
  <c r="Z36" s="1"/>
  <c r="Q35"/>
  <c r="Z35" s="1"/>
  <c r="Q34"/>
  <c r="Z34"/>
  <c r="J34"/>
  <c r="AC34" s="1"/>
  <c r="H34"/>
  <c r="AB34" s="1"/>
  <c r="F34"/>
  <c r="AA34"/>
  <c r="Q33"/>
  <c r="Z33"/>
  <c r="Q32"/>
  <c r="Z32" s="1"/>
  <c r="H32"/>
  <c r="AB32"/>
  <c r="F32"/>
  <c r="AA32" s="1"/>
  <c r="Q31"/>
  <c r="Z31" s="1"/>
  <c r="AC31"/>
  <c r="AB31"/>
  <c r="AA31"/>
  <c r="Q30"/>
  <c r="Z30"/>
  <c r="Q29"/>
  <c r="Z29"/>
  <c r="Q28"/>
  <c r="Z28"/>
  <c r="J28"/>
  <c r="H28"/>
  <c r="F28"/>
  <c r="AA28"/>
  <c r="Q27"/>
  <c r="Z27" s="1"/>
  <c r="Q26"/>
  <c r="Z26"/>
  <c r="Q25"/>
  <c r="Z25"/>
  <c r="Q24"/>
  <c r="Z24" s="1"/>
  <c r="Q23"/>
  <c r="Z23" s="1"/>
  <c r="AC23"/>
  <c r="Q22"/>
  <c r="Z22" s="1"/>
  <c r="Q20"/>
  <c r="Z20"/>
  <c r="Q16"/>
  <c r="Z16"/>
  <c r="Q14"/>
  <c r="Z14" s="1"/>
  <c r="Q13"/>
  <c r="Z13" s="1"/>
  <c r="Q12"/>
  <c r="Z12"/>
  <c r="Q11"/>
  <c r="Z11"/>
  <c r="Q10"/>
  <c r="Z10"/>
  <c r="Q9"/>
  <c r="Z9" s="1"/>
  <c r="W9"/>
  <c r="F9"/>
  <c r="AA9" s="1"/>
  <c r="J8"/>
  <c r="H8"/>
  <c r="U8" s="1"/>
  <c r="F8"/>
  <c r="AA8"/>
  <c r="D120" i="34"/>
  <c r="E120" s="1"/>
  <c r="F120" s="1"/>
  <c r="G120" s="1"/>
  <c r="H120" s="1"/>
  <c r="I120" s="1"/>
  <c r="J120" s="1"/>
  <c r="K120" s="1"/>
  <c r="L120" s="1"/>
  <c r="M120" s="1"/>
  <c r="D90"/>
  <c r="C15"/>
  <c r="F67"/>
  <c r="G67"/>
  <c r="H67"/>
  <c r="I67" s="1"/>
  <c r="H10"/>
  <c r="AB10" s="1"/>
  <c r="D126"/>
  <c r="E126" s="1"/>
  <c r="F126" s="1"/>
  <c r="G126" s="1"/>
  <c r="D124"/>
  <c r="E124"/>
  <c r="F124" s="1"/>
  <c r="G124" s="1"/>
  <c r="H124" s="1"/>
  <c r="I124" s="1"/>
  <c r="J124" s="1"/>
  <c r="K124" s="1"/>
  <c r="L124" s="1"/>
  <c r="M124" s="1"/>
  <c r="J43"/>
  <c r="W43"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W36" s="1"/>
  <c r="D107"/>
  <c r="E107"/>
  <c r="F35"/>
  <c r="AA35" s="1"/>
  <c r="M103"/>
  <c r="L103"/>
  <c r="K103"/>
  <c r="J103"/>
  <c r="I103"/>
  <c r="H103"/>
  <c r="G103"/>
  <c r="F103"/>
  <c r="E103"/>
  <c r="D103"/>
  <c r="C103"/>
  <c r="D102"/>
  <c r="E102" s="1"/>
  <c r="F102" s="1"/>
  <c r="G102" s="1"/>
  <c r="H102" s="1"/>
  <c r="I102" s="1"/>
  <c r="J102" s="1"/>
  <c r="K102" s="1"/>
  <c r="L102" s="1"/>
  <c r="M102" s="1"/>
  <c r="H33"/>
  <c r="U33" s="1"/>
  <c r="D92"/>
  <c r="E92"/>
  <c r="F92" s="1"/>
  <c r="G92" s="1"/>
  <c r="H92"/>
  <c r="I92" s="1"/>
  <c r="J92" s="1"/>
  <c r="K92" s="1"/>
  <c r="L92" s="1"/>
  <c r="M92" s="1"/>
  <c r="B91"/>
  <c r="F28" s="1"/>
  <c r="S28" s="1"/>
  <c r="B89"/>
  <c r="J27"/>
  <c r="W27" s="1"/>
  <c r="D88"/>
  <c r="E88" s="1"/>
  <c r="D86"/>
  <c r="E86" s="1"/>
  <c r="F86" s="1"/>
  <c r="G86" s="1"/>
  <c r="D82"/>
  <c r="E82" s="1"/>
  <c r="D80"/>
  <c r="D78"/>
  <c r="D70"/>
  <c r="E70" s="1"/>
  <c r="F70" s="1"/>
  <c r="G70" s="1"/>
  <c r="H70" s="1"/>
  <c r="I70" s="1"/>
  <c r="J70" s="1"/>
  <c r="K70" s="1"/>
  <c r="L70" s="1"/>
  <c r="M70" s="1"/>
  <c r="M68"/>
  <c r="L68"/>
  <c r="K68"/>
  <c r="J68"/>
  <c r="I68"/>
  <c r="H68"/>
  <c r="G68"/>
  <c r="F68"/>
  <c r="E68"/>
  <c r="D68"/>
  <c r="C68"/>
  <c r="C64"/>
  <c r="F9" s="1"/>
  <c r="AA9" s="1"/>
  <c r="P50"/>
  <c r="P49"/>
  <c r="V48"/>
  <c r="T48"/>
  <c r="R48"/>
  <c r="P48"/>
  <c r="Q47"/>
  <c r="Z47" s="1"/>
  <c r="Q46"/>
  <c r="Z46" s="1"/>
  <c r="Q45"/>
  <c r="Z45" s="1"/>
  <c r="Q44"/>
  <c r="Z44" s="1"/>
  <c r="H44"/>
  <c r="AB44" s="1"/>
  <c r="Q43"/>
  <c r="Z43" s="1"/>
  <c r="F43"/>
  <c r="AA43" s="1"/>
  <c r="Q42"/>
  <c r="Z42"/>
  <c r="Q41"/>
  <c r="Z41" s="1"/>
  <c r="Q40"/>
  <c r="Z40"/>
  <c r="F40"/>
  <c r="S40" s="1"/>
  <c r="Q39"/>
  <c r="Z39"/>
  <c r="J39"/>
  <c r="AC39" s="1"/>
  <c r="H39"/>
  <c r="AB39" s="1"/>
  <c r="F39"/>
  <c r="S39" s="1"/>
  <c r="Q38"/>
  <c r="Z38" s="1"/>
  <c r="Q37"/>
  <c r="Z37"/>
  <c r="Q36"/>
  <c r="Z36"/>
  <c r="Q35"/>
  <c r="Z35" s="1"/>
  <c r="Q34"/>
  <c r="Z34"/>
  <c r="Q33"/>
  <c r="Z33" s="1"/>
  <c r="Q32"/>
  <c r="Z32" s="1"/>
  <c r="Q31"/>
  <c r="Z31"/>
  <c r="Q30"/>
  <c r="Z30"/>
  <c r="Q29"/>
  <c r="Z29" s="1"/>
  <c r="Q28"/>
  <c r="Z28"/>
  <c r="Q27"/>
  <c r="Z27" s="1"/>
  <c r="Q25"/>
  <c r="Z25" s="1"/>
  <c r="Q23"/>
  <c r="Z23"/>
  <c r="C23"/>
  <c r="Q19"/>
  <c r="Z19"/>
  <c r="C19"/>
  <c r="Q17"/>
  <c r="Z17"/>
  <c r="C17"/>
  <c r="Q15"/>
  <c r="Z15" s="1"/>
  <c r="Q14"/>
  <c r="Z14"/>
  <c r="Q13"/>
  <c r="Z13" s="1"/>
  <c r="Q12"/>
  <c r="Z12"/>
  <c r="Q11"/>
  <c r="Z11"/>
  <c r="Q10"/>
  <c r="Z10"/>
  <c r="F10"/>
  <c r="AA10" s="1"/>
  <c r="Q9"/>
  <c r="Z9" s="1"/>
  <c r="J9"/>
  <c r="J8"/>
  <c r="AC8"/>
  <c r="H8"/>
  <c r="U8" s="1"/>
  <c r="F8"/>
  <c r="AA8" s="1"/>
  <c r="C7"/>
  <c r="C59" s="1"/>
  <c r="D121" i="33"/>
  <c r="F109"/>
  <c r="E109"/>
  <c r="D109"/>
  <c r="C109"/>
  <c r="D91"/>
  <c r="B88"/>
  <c r="J26"/>
  <c r="AC26" s="1"/>
  <c r="C23"/>
  <c r="C19"/>
  <c r="C17"/>
  <c r="C15"/>
  <c r="C15" i="21"/>
  <c r="D125" i="33"/>
  <c r="D123"/>
  <c r="D117"/>
  <c r="E117"/>
  <c r="F117"/>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D87"/>
  <c r="E87" s="1"/>
  <c r="F87" s="1"/>
  <c r="D85"/>
  <c r="E85" s="1"/>
  <c r="D81"/>
  <c r="E81" s="1"/>
  <c r="D79"/>
  <c r="E79" s="1"/>
  <c r="F79" s="1"/>
  <c r="G79" s="1"/>
  <c r="D77"/>
  <c r="E77" s="1"/>
  <c r="D69"/>
  <c r="E69"/>
  <c r="F69"/>
  <c r="G69" s="1"/>
  <c r="H69" s="1"/>
  <c r="I69"/>
  <c r="J69" s="1"/>
  <c r="K69"/>
  <c r="L69" s="1"/>
  <c r="M69" s="1"/>
  <c r="M67"/>
  <c r="L67"/>
  <c r="K67"/>
  <c r="J67"/>
  <c r="I67"/>
  <c r="H67"/>
  <c r="G67"/>
  <c r="F67"/>
  <c r="E67"/>
  <c r="D67"/>
  <c r="C67"/>
  <c r="G66"/>
  <c r="C63"/>
  <c r="H54"/>
  <c r="P49"/>
  <c r="P48"/>
  <c r="V47"/>
  <c r="T47"/>
  <c r="R47"/>
  <c r="P47"/>
  <c r="Q46"/>
  <c r="Z46" s="1"/>
  <c r="Q45"/>
  <c r="Z45" s="1"/>
  <c r="Q44"/>
  <c r="Z44"/>
  <c r="Q43"/>
  <c r="Z43" s="1"/>
  <c r="Q42"/>
  <c r="Z42"/>
  <c r="Q41"/>
  <c r="Z41" s="1"/>
  <c r="Q40"/>
  <c r="Z40"/>
  <c r="J40"/>
  <c r="AC40" s="1"/>
  <c r="H40"/>
  <c r="AA40"/>
  <c r="Q39"/>
  <c r="Z39"/>
  <c r="J39"/>
  <c r="AC39" s="1"/>
  <c r="Q38"/>
  <c r="Z38" s="1"/>
  <c r="J38"/>
  <c r="AC38" s="1"/>
  <c r="H38"/>
  <c r="AB38" s="1"/>
  <c r="F38"/>
  <c r="AA38" s="1"/>
  <c r="Q37"/>
  <c r="Z37" s="1"/>
  <c r="Q36"/>
  <c r="Z36" s="1"/>
  <c r="Q35"/>
  <c r="Z35"/>
  <c r="H35"/>
  <c r="AB35" s="1"/>
  <c r="Q34"/>
  <c r="Z34" s="1"/>
  <c r="Q33"/>
  <c r="Z33"/>
  <c r="Q32"/>
  <c r="Z32" s="1"/>
  <c r="Q31"/>
  <c r="Z31" s="1"/>
  <c r="Q30"/>
  <c r="Z30" s="1"/>
  <c r="Q29"/>
  <c r="Z29" s="1"/>
  <c r="Q28"/>
  <c r="Z28" s="1"/>
  <c r="Q27"/>
  <c r="Z27"/>
  <c r="Q26"/>
  <c r="Z26" s="1"/>
  <c r="Q25"/>
  <c r="Z25"/>
  <c r="Q23"/>
  <c r="Z23" s="1"/>
  <c r="Q19"/>
  <c r="Z19"/>
  <c r="Q17"/>
  <c r="Z17"/>
  <c r="Q15"/>
  <c r="Z15" s="1"/>
  <c r="Q14"/>
  <c r="Z14" s="1"/>
  <c r="Q13"/>
  <c r="Z13"/>
  <c r="Q12"/>
  <c r="Z12" s="1"/>
  <c r="J12"/>
  <c r="W12"/>
  <c r="H12"/>
  <c r="U12"/>
  <c r="F12"/>
  <c r="AA12" s="1"/>
  <c r="Q11"/>
  <c r="Z11" s="1"/>
  <c r="Q10"/>
  <c r="Z10"/>
  <c r="Q9"/>
  <c r="Z9" s="1"/>
  <c r="J8"/>
  <c r="W8" s="1"/>
  <c r="H8"/>
  <c r="U8" s="1"/>
  <c r="F8"/>
  <c r="M102" i="21"/>
  <c r="D102"/>
  <c r="E102"/>
  <c r="F102"/>
  <c r="G102"/>
  <c r="H102"/>
  <c r="I102"/>
  <c r="J102"/>
  <c r="K102"/>
  <c r="L102"/>
  <c r="C102"/>
  <c r="C63"/>
  <c r="G18" i="20"/>
  <c r="B87" i="46"/>
  <c r="C25" i="40"/>
  <c r="G16" i="20"/>
  <c r="B81" i="46"/>
  <c r="G15" i="20"/>
  <c r="C24"/>
  <c r="C21"/>
  <c r="C20"/>
  <c r="B76" i="46" s="1"/>
  <c r="C18" i="20"/>
  <c r="C17"/>
  <c r="B58" i="46" s="1"/>
  <c r="C16" i="20"/>
  <c r="B47" i="46" s="1"/>
  <c r="C15" i="20"/>
  <c r="B69" i="46"/>
  <c r="E54" i="21"/>
  <c r="F54"/>
  <c r="I54"/>
  <c r="J54" s="1"/>
  <c r="G54"/>
  <c r="H54"/>
  <c r="D125"/>
  <c r="E125"/>
  <c r="F125" s="1"/>
  <c r="G125" s="1"/>
  <c r="D123"/>
  <c r="E123" s="1"/>
  <c r="F123"/>
  <c r="G123"/>
  <c r="H123" s="1"/>
  <c r="I123" s="1"/>
  <c r="J123" s="1"/>
  <c r="K123" s="1"/>
  <c r="L123" s="1"/>
  <c r="M123" s="1"/>
  <c r="H42"/>
  <c r="AB42" s="1"/>
  <c r="D119"/>
  <c r="D117"/>
  <c r="E117"/>
  <c r="F117"/>
  <c r="G117" s="1"/>
  <c r="D115"/>
  <c r="E115"/>
  <c r="F115" s="1"/>
  <c r="G115"/>
  <c r="H115" s="1"/>
  <c r="I115" s="1"/>
  <c r="J115" s="1"/>
  <c r="K115" s="1"/>
  <c r="L115" s="1"/>
  <c r="M115" s="1"/>
  <c r="D113"/>
  <c r="E113" s="1"/>
  <c r="F113" s="1"/>
  <c r="G113"/>
  <c r="H113" s="1"/>
  <c r="D110"/>
  <c r="E110"/>
  <c r="F110"/>
  <c r="G110" s="1"/>
  <c r="H110" s="1"/>
  <c r="I110" s="1"/>
  <c r="J110" s="1"/>
  <c r="K110" s="1"/>
  <c r="L110" s="1"/>
  <c r="M110" s="1"/>
  <c r="J36"/>
  <c r="W36" s="1"/>
  <c r="D108"/>
  <c r="E108" s="1"/>
  <c r="F108" s="1"/>
  <c r="G108" s="1"/>
  <c r="H108" s="1"/>
  <c r="I108" s="1"/>
  <c r="J108" s="1"/>
  <c r="K108" s="1"/>
  <c r="L108" s="1"/>
  <c r="M108" s="1"/>
  <c r="D106"/>
  <c r="E106" s="1"/>
  <c r="F106"/>
  <c r="G106" s="1"/>
  <c r="H106" s="1"/>
  <c r="I106"/>
  <c r="J106" s="1"/>
  <c r="K106" s="1"/>
  <c r="L106" s="1"/>
  <c r="M106" s="1"/>
  <c r="D101"/>
  <c r="E101"/>
  <c r="F101"/>
  <c r="G101" s="1"/>
  <c r="H101"/>
  <c r="I101"/>
  <c r="J101"/>
  <c r="K101"/>
  <c r="L101" s="1"/>
  <c r="M101" s="1"/>
  <c r="D89"/>
  <c r="E89"/>
  <c r="F89" s="1"/>
  <c r="G89" s="1"/>
  <c r="H89"/>
  <c r="I89" s="1"/>
  <c r="J89" s="1"/>
  <c r="K89" s="1"/>
  <c r="L89" s="1"/>
  <c r="M89" s="1"/>
  <c r="D67"/>
  <c r="E67"/>
  <c r="F67"/>
  <c r="G67"/>
  <c r="H67"/>
  <c r="I67"/>
  <c r="J67"/>
  <c r="K67"/>
  <c r="L67"/>
  <c r="M67"/>
  <c r="C67"/>
  <c r="D69"/>
  <c r="E69" s="1"/>
  <c r="F69" s="1"/>
  <c r="G69" s="1"/>
  <c r="H69" s="1"/>
  <c r="I69" s="1"/>
  <c r="J69" s="1"/>
  <c r="K69" s="1"/>
  <c r="L69" s="1"/>
  <c r="M69" s="1"/>
  <c r="D66"/>
  <c r="E66" s="1"/>
  <c r="F66" s="1"/>
  <c r="G66" s="1"/>
  <c r="H66" s="1"/>
  <c r="I66"/>
  <c r="D111"/>
  <c r="E111"/>
  <c r="F111"/>
  <c r="C111"/>
  <c r="D79"/>
  <c r="E79"/>
  <c r="F79"/>
  <c r="G79"/>
  <c r="D85"/>
  <c r="E85" s="1"/>
  <c r="D81"/>
  <c r="E81"/>
  <c r="F81"/>
  <c r="G81" s="1"/>
  <c r="D77"/>
  <c r="E77"/>
  <c r="B130"/>
  <c r="B128"/>
  <c r="J45" s="1"/>
  <c r="W45" s="1"/>
  <c r="B126"/>
  <c r="F44" s="1"/>
  <c r="B98"/>
  <c r="B96"/>
  <c r="B94"/>
  <c r="B92"/>
  <c r="B90"/>
  <c r="B74"/>
  <c r="B72"/>
  <c r="B70"/>
  <c r="H12" s="1"/>
  <c r="U12" s="1"/>
  <c r="F12"/>
  <c r="S12" s="1"/>
  <c r="F10"/>
  <c r="AA10" s="1"/>
  <c r="C7"/>
  <c r="C58" s="1"/>
  <c r="C19"/>
  <c r="C17"/>
  <c r="C23"/>
  <c r="Q9"/>
  <c r="Z9" s="1"/>
  <c r="Q10"/>
  <c r="Z10" s="1"/>
  <c r="Q11"/>
  <c r="Z11"/>
  <c r="Q12"/>
  <c r="Z12" s="1"/>
  <c r="Q13"/>
  <c r="Z13" s="1"/>
  <c r="Q14"/>
  <c r="Z14" s="1"/>
  <c r="Q15"/>
  <c r="Z15" s="1"/>
  <c r="Q17"/>
  <c r="Z17"/>
  <c r="Q19"/>
  <c r="Z19"/>
  <c r="Q23"/>
  <c r="Z23" s="1"/>
  <c r="Q25"/>
  <c r="Z25" s="1"/>
  <c r="Q26"/>
  <c r="Z26" s="1"/>
  <c r="Q27"/>
  <c r="Z27" s="1"/>
  <c r="Q28"/>
  <c r="Z28"/>
  <c r="Q29"/>
  <c r="Z29"/>
  <c r="Q30"/>
  <c r="Z30" s="1"/>
  <c r="Q31"/>
  <c r="Z31"/>
  <c r="Q32"/>
  <c r="Z32" s="1"/>
  <c r="Q33"/>
  <c r="Z33" s="1"/>
  <c r="Q34"/>
  <c r="Z34"/>
  <c r="J35"/>
  <c r="W35"/>
  <c r="Q35"/>
  <c r="Z35" s="1"/>
  <c r="Q36"/>
  <c r="Z36"/>
  <c r="Q37"/>
  <c r="Z37"/>
  <c r="J38"/>
  <c r="W38" s="1"/>
  <c r="Q38"/>
  <c r="Z38"/>
  <c r="J39"/>
  <c r="AC39"/>
  <c r="Q39"/>
  <c r="Z39" s="1"/>
  <c r="Q40"/>
  <c r="Z40"/>
  <c r="Q41"/>
  <c r="Z41"/>
  <c r="Q42"/>
  <c r="Z42" s="1"/>
  <c r="J43"/>
  <c r="AC43"/>
  <c r="Q43"/>
  <c r="Z43"/>
  <c r="Q44"/>
  <c r="Z44" s="1"/>
  <c r="Q45"/>
  <c r="Z45" s="1"/>
  <c r="Q46"/>
  <c r="Z46"/>
  <c r="P47"/>
  <c r="R47"/>
  <c r="T47"/>
  <c r="V47"/>
  <c r="P48"/>
  <c r="P49"/>
  <c r="F8"/>
  <c r="AA8" s="1"/>
  <c r="E13" i="11"/>
  <c r="E12"/>
  <c r="C9" i="12"/>
  <c r="BB12" i="3"/>
  <c r="F9" i="12"/>
  <c r="D9"/>
  <c r="E9"/>
  <c r="G9"/>
  <c r="K5" i="3"/>
  <c r="F20" i="6" s="1"/>
  <c r="J5" i="3"/>
  <c r="BE10"/>
  <c r="BD13"/>
  <c r="BE13"/>
  <c r="BF13"/>
  <c r="BF5" s="1"/>
  <c r="BG13"/>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A572" s="1"/>
  <c r="BM572"/>
  <c r="BN572"/>
  <c r="BL572" s="1"/>
  <c r="BO572"/>
  <c r="BP572"/>
  <c r="BQ572"/>
  <c r="BR572"/>
  <c r="BS572"/>
  <c r="BT572"/>
  <c r="AC570"/>
  <c r="AC571"/>
  <c r="G571"/>
  <c r="AC572"/>
  <c r="G572" s="1"/>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H572"/>
  <c r="F5"/>
  <c r="G27" i="6"/>
  <c r="F34" i="21"/>
  <c r="AA34"/>
  <c r="H34"/>
  <c r="U34" s="1"/>
  <c r="F43"/>
  <c r="S43" s="1"/>
  <c r="H38"/>
  <c r="AB38" s="1"/>
  <c r="H43"/>
  <c r="AB43" s="1"/>
  <c r="F32"/>
  <c r="F38"/>
  <c r="S38" s="1"/>
  <c r="F36"/>
  <c r="S36" s="1"/>
  <c r="F39"/>
  <c r="AA39"/>
  <c r="J40"/>
  <c r="W40"/>
  <c r="H35"/>
  <c r="AB35"/>
  <c r="J8"/>
  <c r="AC8" s="1"/>
  <c r="H8"/>
  <c r="AB8" s="1"/>
  <c r="H10"/>
  <c r="U10" s="1"/>
  <c r="H39"/>
  <c r="J34"/>
  <c r="W34"/>
  <c r="H36"/>
  <c r="F35"/>
  <c r="AA35" s="1"/>
  <c r="J33"/>
  <c r="W33"/>
  <c r="H33"/>
  <c r="U33"/>
  <c r="F33"/>
  <c r="J10"/>
  <c r="AC10" s="1"/>
  <c r="H26"/>
  <c r="F19"/>
  <c r="AA19" s="1"/>
  <c r="H19"/>
  <c r="AB19" s="1"/>
  <c r="J19"/>
  <c r="W19"/>
  <c r="J12"/>
  <c r="J26"/>
  <c r="W26"/>
  <c r="F26"/>
  <c r="AA26"/>
  <c r="AB41"/>
  <c r="S41"/>
  <c r="AA41"/>
  <c r="S10" i="39"/>
  <c r="U30" i="37"/>
  <c r="E103"/>
  <c r="F103"/>
  <c r="G103" s="1"/>
  <c r="H103" s="1"/>
  <c r="I103" s="1"/>
  <c r="J103" s="1"/>
  <c r="F39"/>
  <c r="AA39" s="1"/>
  <c r="S39"/>
  <c r="F29" i="36"/>
  <c r="AA29"/>
  <c r="F16"/>
  <c r="AA16" s="1"/>
  <c r="U22"/>
  <c r="W23"/>
  <c r="W22"/>
  <c r="U26"/>
  <c r="AC31"/>
  <c r="J33"/>
  <c r="W33"/>
  <c r="AC27" i="35"/>
  <c r="U31"/>
  <c r="S34"/>
  <c r="W36"/>
  <c r="W24"/>
  <c r="S31"/>
  <c r="W31"/>
  <c r="U34"/>
  <c r="F36" i="34"/>
  <c r="S36" s="1"/>
  <c r="W39"/>
  <c r="H39" i="33"/>
  <c r="AB39" s="1"/>
  <c r="F26"/>
  <c r="AA26" s="1"/>
  <c r="S40"/>
  <c r="S8" i="21"/>
  <c r="H39" i="37"/>
  <c r="AB39" s="1"/>
  <c r="AB27" i="35"/>
  <c r="S10" i="40"/>
  <c r="W10"/>
  <c r="S11"/>
  <c r="U11"/>
  <c r="S36"/>
  <c r="U36"/>
  <c r="S40" i="39"/>
  <c r="S36"/>
  <c r="F11" i="21"/>
  <c r="S11" s="1"/>
  <c r="AC40"/>
  <c r="AA38"/>
  <c r="AC35"/>
  <c r="C29" i="39"/>
  <c r="U36"/>
  <c r="S42"/>
  <c r="H11" i="21"/>
  <c r="U11" s="1"/>
  <c r="J11"/>
  <c r="W11" s="1"/>
  <c r="F100" i="40"/>
  <c r="F86"/>
  <c r="G86" s="1"/>
  <c r="J27" i="36"/>
  <c r="W27" s="1"/>
  <c r="J30" i="35"/>
  <c r="W30" s="1"/>
  <c r="F22"/>
  <c r="AA22"/>
  <c r="H10"/>
  <c r="U10"/>
  <c r="AC24" i="36"/>
  <c r="U29"/>
  <c r="U24"/>
  <c r="G85"/>
  <c r="H85" s="1"/>
  <c r="I85" s="1"/>
  <c r="J85" s="1"/>
  <c r="K85" s="1"/>
  <c r="L85" s="1"/>
  <c r="M85" s="1"/>
  <c r="J29"/>
  <c r="AC29"/>
  <c r="F12"/>
  <c r="S12"/>
  <c r="F24"/>
  <c r="AA24"/>
  <c r="F34"/>
  <c r="S34" s="1"/>
  <c r="S10"/>
  <c r="AB8"/>
  <c r="H16" i="35"/>
  <c r="H33"/>
  <c r="AB33" s="1"/>
  <c r="W8"/>
  <c r="AC8"/>
  <c r="F35" i="37"/>
  <c r="E101"/>
  <c r="F101" s="1"/>
  <c r="G101" s="1"/>
  <c r="H101" s="1"/>
  <c r="I101" s="1"/>
  <c r="J101" s="1"/>
  <c r="K101" s="1"/>
  <c r="L101" s="1"/>
  <c r="M101" s="1"/>
  <c r="J34"/>
  <c r="W34"/>
  <c r="H43" i="34"/>
  <c r="U43" s="1"/>
  <c r="U42"/>
  <c r="E114"/>
  <c r="F114" s="1"/>
  <c r="G114" s="1"/>
  <c r="H114" s="1"/>
  <c r="I114" s="1"/>
  <c r="J114" s="1"/>
  <c r="K114" s="1"/>
  <c r="L114" s="1"/>
  <c r="M114" s="1"/>
  <c r="H36"/>
  <c r="U36" s="1"/>
  <c r="F33"/>
  <c r="S33" s="1"/>
  <c r="J10"/>
  <c r="AC10" s="1"/>
  <c r="W8"/>
  <c r="J28"/>
  <c r="W28" s="1"/>
  <c r="S38" i="33"/>
  <c r="E113"/>
  <c r="F113" s="1"/>
  <c r="G113" s="1"/>
  <c r="F37" s="1"/>
  <c r="AA37" s="1"/>
  <c r="S10" i="21"/>
  <c r="W40" i="33"/>
  <c r="AB30" i="36"/>
  <c r="S22" i="35"/>
  <c r="H29"/>
  <c r="U34" i="37"/>
  <c r="S34"/>
  <c r="AA34"/>
  <c r="AB42" i="34"/>
  <c r="H37" i="33"/>
  <c r="AB37" s="1"/>
  <c r="AC42" i="34"/>
  <c r="W42"/>
  <c r="AA42"/>
  <c r="S42"/>
  <c r="AC38"/>
  <c r="AA38"/>
  <c r="J37" i="33"/>
  <c r="W37" s="1"/>
  <c r="J42" i="21"/>
  <c r="AC42" s="1"/>
  <c r="J44" i="34"/>
  <c r="AC44" s="1"/>
  <c r="F44"/>
  <c r="S44" s="1"/>
  <c r="J10" i="35"/>
  <c r="W10" s="1"/>
  <c r="AL5" i="3"/>
  <c r="BQ13"/>
  <c r="J14" i="21"/>
  <c r="F14"/>
  <c r="AA14" s="1"/>
  <c r="H14"/>
  <c r="U14" s="1"/>
  <c r="H28"/>
  <c r="AB28"/>
  <c r="F28"/>
  <c r="J28"/>
  <c r="AC28" s="1"/>
  <c r="H30"/>
  <c r="U30"/>
  <c r="F30"/>
  <c r="S30"/>
  <c r="J30"/>
  <c r="W30" s="1"/>
  <c r="J44"/>
  <c r="AC44" s="1"/>
  <c r="H44"/>
  <c r="U44" s="1"/>
  <c r="AA44"/>
  <c r="H46"/>
  <c r="AB46"/>
  <c r="J46"/>
  <c r="W46"/>
  <c r="F46"/>
  <c r="AA46"/>
  <c r="H26" i="33"/>
  <c r="U26" s="1"/>
  <c r="H28"/>
  <c r="U28" s="1"/>
  <c r="F28"/>
  <c r="AA28" s="1"/>
  <c r="J28"/>
  <c r="W28" s="1"/>
  <c r="F33" i="35"/>
  <c r="S33"/>
  <c r="J33"/>
  <c r="W33"/>
  <c r="F30"/>
  <c r="AA30" s="1"/>
  <c r="E89"/>
  <c r="F89"/>
  <c r="G89"/>
  <c r="H89" s="1"/>
  <c r="I89" s="1"/>
  <c r="J89" s="1"/>
  <c r="K89" s="1"/>
  <c r="L89"/>
  <c r="M89" s="1"/>
  <c r="H10" i="36"/>
  <c r="AB10" s="1"/>
  <c r="F28"/>
  <c r="S28" s="1"/>
  <c r="F27"/>
  <c r="S27"/>
  <c r="H13" i="21"/>
  <c r="U13"/>
  <c r="J13"/>
  <c r="AC13" s="1"/>
  <c r="F13"/>
  <c r="AA13"/>
  <c r="H27"/>
  <c r="AB27"/>
  <c r="J27"/>
  <c r="W27"/>
  <c r="F27"/>
  <c r="AA27" s="1"/>
  <c r="J29"/>
  <c r="AC29"/>
  <c r="H29"/>
  <c r="U29" s="1"/>
  <c r="F29"/>
  <c r="S29" s="1"/>
  <c r="J31"/>
  <c r="AC31" s="1"/>
  <c r="H31"/>
  <c r="U31" s="1"/>
  <c r="F31"/>
  <c r="S31" s="1"/>
  <c r="J27" i="33"/>
  <c r="AC27" s="1"/>
  <c r="F13"/>
  <c r="J29"/>
  <c r="W29" s="1"/>
  <c r="J31"/>
  <c r="AC31" s="1"/>
  <c r="H31"/>
  <c r="U31" s="1"/>
  <c r="S31"/>
  <c r="J45"/>
  <c r="W45" s="1"/>
  <c r="F11" i="35"/>
  <c r="S11"/>
  <c r="H28" i="36"/>
  <c r="H32"/>
  <c r="AB32"/>
  <c r="J32"/>
  <c r="J11"/>
  <c r="W11" s="1"/>
  <c r="H13"/>
  <c r="AB13"/>
  <c r="W13"/>
  <c r="F13"/>
  <c r="S13"/>
  <c r="E89" i="37"/>
  <c r="F89"/>
  <c r="G89" s="1"/>
  <c r="H89" s="1"/>
  <c r="I89"/>
  <c r="J89" s="1"/>
  <c r="K89" s="1"/>
  <c r="L89" s="1"/>
  <c r="M89" s="1"/>
  <c r="J29"/>
  <c r="W29"/>
  <c r="F29"/>
  <c r="AA29" s="1"/>
  <c r="F105"/>
  <c r="AB36"/>
  <c r="F107"/>
  <c r="G107" s="1"/>
  <c r="H107" s="1"/>
  <c r="I107" s="1"/>
  <c r="J107" s="1"/>
  <c r="K107" s="1"/>
  <c r="J37"/>
  <c r="AC37" s="1"/>
  <c r="H37"/>
  <c r="U37"/>
  <c r="H40"/>
  <c r="U40"/>
  <c r="J40"/>
  <c r="F40"/>
  <c r="AA40" s="1"/>
  <c r="H14" i="33"/>
  <c r="U14"/>
  <c r="F14"/>
  <c r="AA14"/>
  <c r="J14"/>
  <c r="AC14"/>
  <c r="H30"/>
  <c r="F30"/>
  <c r="S30"/>
  <c r="J30"/>
  <c r="H44"/>
  <c r="U44" s="1"/>
  <c r="J44"/>
  <c r="AC44"/>
  <c r="F44"/>
  <c r="S44" s="1"/>
  <c r="F46"/>
  <c r="H46"/>
  <c r="AB46" s="1"/>
  <c r="H13" i="34"/>
  <c r="U13"/>
  <c r="J13"/>
  <c r="W13"/>
  <c r="F13"/>
  <c r="AA13"/>
  <c r="J29"/>
  <c r="AC29" s="1"/>
  <c r="F29"/>
  <c r="S29"/>
  <c r="H29"/>
  <c r="U29" s="1"/>
  <c r="AC31"/>
  <c r="H31"/>
  <c r="F31"/>
  <c r="S31" s="1"/>
  <c r="H45"/>
  <c r="U45" s="1"/>
  <c r="J45"/>
  <c r="W45"/>
  <c r="F45"/>
  <c r="AA45"/>
  <c r="U47"/>
  <c r="F47"/>
  <c r="AA47"/>
  <c r="F13" i="35"/>
  <c r="S13"/>
  <c r="J13"/>
  <c r="AC13" s="1"/>
  <c r="H13"/>
  <c r="U13"/>
  <c r="AC25"/>
  <c r="H25"/>
  <c r="J35"/>
  <c r="AC35" s="1"/>
  <c r="F35"/>
  <c r="S35" s="1"/>
  <c r="H35"/>
  <c r="U35"/>
  <c r="W25" i="36"/>
  <c r="F25"/>
  <c r="AA25" s="1"/>
  <c r="H25"/>
  <c r="AB25"/>
  <c r="H13" i="37"/>
  <c r="AB13"/>
  <c r="F13"/>
  <c r="S13"/>
  <c r="J13"/>
  <c r="AC13" s="1"/>
  <c r="F28"/>
  <c r="AA28"/>
  <c r="J28"/>
  <c r="AC28" s="1"/>
  <c r="H28"/>
  <c r="U28"/>
  <c r="H38"/>
  <c r="AB38"/>
  <c r="J38"/>
  <c r="AC38"/>
  <c r="F38"/>
  <c r="S38" s="1"/>
  <c r="F14"/>
  <c r="AA14"/>
  <c r="F27"/>
  <c r="J14"/>
  <c r="W14"/>
  <c r="J27"/>
  <c r="W27"/>
  <c r="AA38"/>
  <c r="AB13" i="35"/>
  <c r="AB40" i="37"/>
  <c r="J36"/>
  <c r="AC36"/>
  <c r="G105"/>
  <c r="AB31" i="21"/>
  <c r="AB13"/>
  <c r="S46"/>
  <c r="U46"/>
  <c r="AC30"/>
  <c r="AB30"/>
  <c r="S28"/>
  <c r="AA28"/>
  <c r="W31" i="34"/>
  <c r="U36" i="37"/>
  <c r="AC13" i="36"/>
  <c r="AB31" i="33"/>
  <c r="U28" i="21"/>
  <c r="AB44"/>
  <c r="S19"/>
  <c r="G529" i="3"/>
  <c r="G521"/>
  <c r="G517"/>
  <c r="G513"/>
  <c r="G508"/>
  <c r="G499"/>
  <c r="G493"/>
  <c r="G485"/>
  <c r="G17"/>
  <c r="G565"/>
  <c r="G561"/>
  <c r="G557"/>
  <c r="G549"/>
  <c r="G545"/>
  <c r="G539"/>
  <c r="BL569"/>
  <c r="AZ569" s="1"/>
  <c r="BL561"/>
  <c r="BL557"/>
  <c r="BL553"/>
  <c r="BL545"/>
  <c r="BL535"/>
  <c r="BL527"/>
  <c r="BL519"/>
  <c r="BL511"/>
  <c r="BL501"/>
  <c r="AZ501" s="1"/>
  <c r="BL491"/>
  <c r="BL483"/>
  <c r="G16"/>
  <c r="BL563"/>
  <c r="BL559"/>
  <c r="BL555"/>
  <c r="BL551"/>
  <c r="BL541"/>
  <c r="AZ541" s="1"/>
  <c r="BL533"/>
  <c r="BL525"/>
  <c r="G518"/>
  <c r="G514"/>
  <c r="G510"/>
  <c r="BL503"/>
  <c r="BL495"/>
  <c r="BL485"/>
  <c r="G18"/>
  <c r="BA569"/>
  <c r="BA565"/>
  <c r="BA561"/>
  <c r="AZ561" s="1"/>
  <c r="BA559"/>
  <c r="AZ559" s="1"/>
  <c r="BA557"/>
  <c r="AZ557" s="1"/>
  <c r="BA555"/>
  <c r="AZ555" s="1"/>
  <c r="BA551"/>
  <c r="AZ551" s="1"/>
  <c r="BA545"/>
  <c r="BA543"/>
  <c r="BA541"/>
  <c r="BA531"/>
  <c r="BA521"/>
  <c r="BA509"/>
  <c r="BA505"/>
  <c r="BA501"/>
  <c r="BA493"/>
  <c r="AZ493"/>
  <c r="BA487"/>
  <c r="BA19"/>
  <c r="BA566"/>
  <c r="BA562"/>
  <c r="BA560"/>
  <c r="AZ560" s="1"/>
  <c r="BA558"/>
  <c r="AZ558" s="1"/>
  <c r="BA556"/>
  <c r="AZ556" s="1"/>
  <c r="BA554"/>
  <c r="BA550"/>
  <c r="BA546"/>
  <c r="BA544"/>
  <c r="AZ544" s="1"/>
  <c r="BA540"/>
  <c r="BA536"/>
  <c r="BA532"/>
  <c r="BA528"/>
  <c r="BA524"/>
  <c r="BA520"/>
  <c r="AZ520"/>
  <c r="BA516"/>
  <c r="BA512"/>
  <c r="BA508"/>
  <c r="BA502"/>
  <c r="AZ502" s="1"/>
  <c r="BA498"/>
  <c r="BA492"/>
  <c r="BA488"/>
  <c r="AZ488" s="1"/>
  <c r="BA484"/>
  <c r="AZ484" s="1"/>
  <c r="BA20"/>
  <c r="AZ545"/>
  <c r="G566"/>
  <c r="G562"/>
  <c r="G560"/>
  <c r="G558"/>
  <c r="G556"/>
  <c r="G554"/>
  <c r="G550"/>
  <c r="G546"/>
  <c r="BL543"/>
  <c r="AZ543" s="1"/>
  <c r="BA542"/>
  <c r="AZ542" s="1"/>
  <c r="AC542"/>
  <c r="G542"/>
  <c r="BQ542"/>
  <c r="BL542"/>
  <c r="BQ568"/>
  <c r="BQ566"/>
  <c r="BQ564"/>
  <c r="BL564"/>
  <c r="BQ562"/>
  <c r="BL562" s="1"/>
  <c r="AZ562" s="1"/>
  <c r="BQ560"/>
  <c r="BL560"/>
  <c r="BQ558"/>
  <c r="BL558"/>
  <c r="BQ556"/>
  <c r="BL556" s="1"/>
  <c r="BQ554"/>
  <c r="BQ552"/>
  <c r="BL552" s="1"/>
  <c r="BQ550"/>
  <c r="BL550"/>
  <c r="BQ548"/>
  <c r="BQ546"/>
  <c r="BL546" s="1"/>
  <c r="BQ544"/>
  <c r="BL544" s="1"/>
  <c r="G544"/>
  <c r="G538"/>
  <c r="G534"/>
  <c r="G530"/>
  <c r="G526"/>
  <c r="G522"/>
  <c r="BQ540"/>
  <c r="BL540"/>
  <c r="AZ540" s="1"/>
  <c r="BQ538"/>
  <c r="BL538"/>
  <c r="BQ536"/>
  <c r="BQ534"/>
  <c r="BQ532"/>
  <c r="BL532"/>
  <c r="AZ532" s="1"/>
  <c r="BQ530"/>
  <c r="BQ528"/>
  <c r="BQ526"/>
  <c r="BL526" s="1"/>
  <c r="BQ524"/>
  <c r="BL524" s="1"/>
  <c r="BQ522"/>
  <c r="BQ520"/>
  <c r="BL520" s="1"/>
  <c r="BQ518"/>
  <c r="BQ516"/>
  <c r="BL516"/>
  <c r="AZ516" s="1"/>
  <c r="BQ514"/>
  <c r="BL514" s="1"/>
  <c r="BQ512"/>
  <c r="BQ510"/>
  <c r="BL510"/>
  <c r="BQ508"/>
  <c r="BL508"/>
  <c r="AC506"/>
  <c r="G506" s="1"/>
  <c r="BQ506"/>
  <c r="G502"/>
  <c r="G498"/>
  <c r="BQ504"/>
  <c r="BQ502"/>
  <c r="BL502"/>
  <c r="BQ500"/>
  <c r="BL500"/>
  <c r="BQ498"/>
  <c r="BQ496"/>
  <c r="AC494"/>
  <c r="BQ494"/>
  <c r="BL493"/>
  <c r="G492"/>
  <c r="G488"/>
  <c r="G484"/>
  <c r="G20"/>
  <c r="BQ492"/>
  <c r="BL492" s="1"/>
  <c r="AZ492" s="1"/>
  <c r="BQ490"/>
  <c r="BQ488"/>
  <c r="BL488"/>
  <c r="BQ486"/>
  <c r="BQ484"/>
  <c r="BL484"/>
  <c r="BQ482"/>
  <c r="BL482"/>
  <c r="BQ20"/>
  <c r="BL20" s="1"/>
  <c r="AZ20"/>
  <c r="BQ18"/>
  <c r="S505" i="31"/>
  <c r="S503"/>
  <c r="S501"/>
  <c r="S499"/>
  <c r="O27"/>
  <c r="O28"/>
  <c r="O26"/>
  <c r="M27"/>
  <c r="M28"/>
  <c r="M26"/>
  <c r="I26"/>
  <c r="I25"/>
  <c r="S25"/>
  <c r="Q26"/>
  <c r="K26"/>
  <c r="I27"/>
  <c r="Q27"/>
  <c r="K27"/>
  <c r="I28"/>
  <c r="Q28"/>
  <c r="K28"/>
  <c r="AA12" i="21"/>
  <c r="H25"/>
  <c r="U25" s="1"/>
  <c r="F25"/>
  <c r="S25" s="1"/>
  <c r="J25"/>
  <c r="AC25"/>
  <c r="E125" i="33"/>
  <c r="F125" s="1"/>
  <c r="G125" s="1"/>
  <c r="H43"/>
  <c r="U43" s="1"/>
  <c r="H17" i="37"/>
  <c r="U17" s="1"/>
  <c r="F23"/>
  <c r="F79"/>
  <c r="G79" s="1"/>
  <c r="AB27"/>
  <c r="F39" i="33"/>
  <c r="AA39" s="1"/>
  <c r="E123"/>
  <c r="F123" s="1"/>
  <c r="F22" i="36"/>
  <c r="S22"/>
  <c r="H35" i="34"/>
  <c r="U35" s="1"/>
  <c r="F41"/>
  <c r="S41" s="1"/>
  <c r="H41"/>
  <c r="U41" s="1"/>
  <c r="J41"/>
  <c r="W41" s="1"/>
  <c r="F10" i="35"/>
  <c r="AA10"/>
  <c r="F24"/>
  <c r="AA24"/>
  <c r="H24"/>
  <c r="AB24" s="1"/>
  <c r="H23" i="37"/>
  <c r="AB23" s="1"/>
  <c r="J32"/>
  <c r="AC32" s="1"/>
  <c r="F36"/>
  <c r="S36"/>
  <c r="F37"/>
  <c r="AA37"/>
  <c r="U23"/>
  <c r="J43" i="33"/>
  <c r="AC43" s="1"/>
  <c r="J23" i="37"/>
  <c r="W23"/>
  <c r="F17"/>
  <c r="AA17"/>
  <c r="D3" i="21"/>
  <c r="AC33" i="36"/>
  <c r="W23" i="35"/>
  <c r="AC23" i="37"/>
  <c r="U39"/>
  <c r="AC8"/>
  <c r="AC45" i="33"/>
  <c r="U19" i="21"/>
  <c r="AC33"/>
  <c r="F43" i="33"/>
  <c r="AA43" s="1"/>
  <c r="S10" i="35"/>
  <c r="L107" i="37"/>
  <c r="M107" s="1"/>
  <c r="F37" i="21"/>
  <c r="S37"/>
  <c r="J37"/>
  <c r="W37"/>
  <c r="J10" i="37"/>
  <c r="W10"/>
  <c r="F36" i="35"/>
  <c r="S36"/>
  <c r="J9" i="37"/>
  <c r="W9"/>
  <c r="H9"/>
  <c r="U9" s="1"/>
  <c r="F9"/>
  <c r="S9"/>
  <c r="F11"/>
  <c r="S11"/>
  <c r="J12"/>
  <c r="AC12"/>
  <c r="H12"/>
  <c r="AB12"/>
  <c r="F12"/>
  <c r="AA12"/>
  <c r="H15"/>
  <c r="E94"/>
  <c r="F31"/>
  <c r="S31" s="1"/>
  <c r="F94"/>
  <c r="G94" s="1"/>
  <c r="H94" s="1"/>
  <c r="I94" s="1"/>
  <c r="J94" s="1"/>
  <c r="K94" s="1"/>
  <c r="L94" s="1"/>
  <c r="M94" s="1"/>
  <c r="H31"/>
  <c r="U31" s="1"/>
  <c r="J15"/>
  <c r="W15" s="1"/>
  <c r="U12"/>
  <c r="AB10"/>
  <c r="J11"/>
  <c r="W11" s="1"/>
  <c r="E90" i="40"/>
  <c r="F21"/>
  <c r="S21"/>
  <c r="W36"/>
  <c r="U40" i="39"/>
  <c r="F90" i="40"/>
  <c r="G90" s="1"/>
  <c r="J21"/>
  <c r="AC21"/>
  <c r="S27" i="31"/>
  <c r="G483" i="3"/>
  <c r="G515"/>
  <c r="G507"/>
  <c r="G501"/>
  <c r="BA15"/>
  <c r="BL17"/>
  <c r="BL15"/>
  <c r="BA14"/>
  <c r="AZ14" s="1"/>
  <c r="J57" i="39"/>
  <c r="H13" i="40"/>
  <c r="U13"/>
  <c r="I4" i="4"/>
  <c r="K141" i="21"/>
  <c r="K143"/>
  <c r="K144"/>
  <c r="I59" i="40"/>
  <c r="C59" s="1"/>
  <c r="I60"/>
  <c r="C60" s="1"/>
  <c r="G297" i="3"/>
  <c r="BL298"/>
  <c r="G299"/>
  <c r="BL300"/>
  <c r="BA302"/>
  <c r="AZ302"/>
  <c r="BA303"/>
  <c r="BL303"/>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G359"/>
  <c r="BA360"/>
  <c r="AZ360"/>
  <c r="BA361"/>
  <c r="AZ361" s="1"/>
  <c r="BL361"/>
  <c r="G362"/>
  <c r="BA363"/>
  <c r="AZ363" s="1"/>
  <c r="G371"/>
  <c r="BL372"/>
  <c r="G373"/>
  <c r="BL374"/>
  <c r="BA376"/>
  <c r="AZ376"/>
  <c r="BA377"/>
  <c r="AZ377"/>
  <c r="BL377"/>
  <c r="G378"/>
  <c r="BA379"/>
  <c r="AZ379" s="1"/>
  <c r="BA114"/>
  <c r="AZ114"/>
  <c r="BL115"/>
  <c r="AZ115"/>
  <c r="G116"/>
  <c r="BA118"/>
  <c r="AZ118"/>
  <c r="BL119"/>
  <c r="G120"/>
  <c r="BA122"/>
  <c r="BL123"/>
  <c r="AZ123"/>
  <c r="G124"/>
  <c r="BA126"/>
  <c r="AZ126" s="1"/>
  <c r="BL127"/>
  <c r="G128"/>
  <c r="BA130"/>
  <c r="BL131"/>
  <c r="AZ131" s="1"/>
  <c r="G132"/>
  <c r="BA134"/>
  <c r="BL135"/>
  <c r="G136"/>
  <c r="BA138"/>
  <c r="AZ138"/>
  <c r="BL139"/>
  <c r="G140"/>
  <c r="BA142"/>
  <c r="BL143"/>
  <c r="G144"/>
  <c r="BA146"/>
  <c r="AZ146"/>
  <c r="BL147"/>
  <c r="AZ147"/>
  <c r="G148"/>
  <c r="BA150"/>
  <c r="BL151"/>
  <c r="BA153"/>
  <c r="BL154"/>
  <c r="G155"/>
  <c r="BA157"/>
  <c r="AZ157" s="1"/>
  <c r="BL158"/>
  <c r="G159"/>
  <c r="BA161"/>
  <c r="AZ161"/>
  <c r="BL162"/>
  <c r="G163"/>
  <c r="BA165"/>
  <c r="BL166"/>
  <c r="G167"/>
  <c r="BA169"/>
  <c r="AZ169" s="1"/>
  <c r="BL170"/>
  <c r="G171"/>
  <c r="BA173"/>
  <c r="AZ173"/>
  <c r="BL174"/>
  <c r="AZ174" s="1"/>
  <c r="G175"/>
  <c r="BA178"/>
  <c r="BL179"/>
  <c r="G180"/>
  <c r="AZ23"/>
  <c r="AZ27"/>
  <c r="AZ31"/>
  <c r="AZ35"/>
  <c r="AZ59"/>
  <c r="G537"/>
  <c r="BL181"/>
  <c r="G182"/>
  <c r="BA184"/>
  <c r="AZ184"/>
  <c r="BL185"/>
  <c r="G186"/>
  <c r="BA188"/>
  <c r="AZ188" s="1"/>
  <c r="BL189"/>
  <c r="G190"/>
  <c r="BA192"/>
  <c r="AZ192"/>
  <c r="BL193"/>
  <c r="AZ193" s="1"/>
  <c r="G194"/>
  <c r="BA196"/>
  <c r="AZ196"/>
  <c r="BL197"/>
  <c r="G198"/>
  <c r="BA200"/>
  <c r="AZ200"/>
  <c r="BL201"/>
  <c r="AZ66"/>
  <c r="AZ70"/>
  <c r="AZ82"/>
  <c r="AZ201"/>
  <c r="AZ84"/>
  <c r="AZ98"/>
  <c r="G491"/>
  <c r="BA298"/>
  <c r="AZ298"/>
  <c r="BA299"/>
  <c r="BL299"/>
  <c r="G300"/>
  <c r="G303"/>
  <c r="BL304"/>
  <c r="BA306"/>
  <c r="AZ306" s="1"/>
  <c r="BA307"/>
  <c r="BL307"/>
  <c r="AZ307"/>
  <c r="G308"/>
  <c r="G319"/>
  <c r="BL320"/>
  <c r="BA322"/>
  <c r="AZ322" s="1"/>
  <c r="BA323"/>
  <c r="AZ323"/>
  <c r="BL323"/>
  <c r="G324"/>
  <c r="G327"/>
  <c r="BL328"/>
  <c r="BA330"/>
  <c r="AZ330"/>
  <c r="BA331"/>
  <c r="AZ331" s="1"/>
  <c r="BL331"/>
  <c r="G332"/>
  <c r="G335"/>
  <c r="BL336"/>
  <c r="AZ336" s="1"/>
  <c r="BA338"/>
  <c r="AZ338" s="1"/>
  <c r="BA339"/>
  <c r="BL339"/>
  <c r="G340"/>
  <c r="G343"/>
  <c r="BL344"/>
  <c r="BA346"/>
  <c r="AZ346" s="1"/>
  <c r="BA347"/>
  <c r="BL347"/>
  <c r="G348"/>
  <c r="G351"/>
  <c r="BL352"/>
  <c r="BA354"/>
  <c r="AZ354" s="1"/>
  <c r="BA355"/>
  <c r="BL355"/>
  <c r="AZ355" s="1"/>
  <c r="G356"/>
  <c r="BA358"/>
  <c r="AZ358" s="1"/>
  <c r="BA359"/>
  <c r="AZ359" s="1"/>
  <c r="BL359"/>
  <c r="G360"/>
  <c r="G361"/>
  <c r="BL362"/>
  <c r="BA364"/>
  <c r="AZ364"/>
  <c r="BA365"/>
  <c r="AZ365"/>
  <c r="BL365"/>
  <c r="G366"/>
  <c r="G369"/>
  <c r="BL370"/>
  <c r="BA372"/>
  <c r="AZ372"/>
  <c r="BA373"/>
  <c r="BL373"/>
  <c r="AZ373"/>
  <c r="G374"/>
  <c r="G377"/>
  <c r="BL378"/>
  <c r="BA380"/>
  <c r="AZ380"/>
  <c r="BA381"/>
  <c r="AZ381"/>
  <c r="BL381"/>
  <c r="G382"/>
  <c r="G385"/>
  <c r="AZ158"/>
  <c r="AZ166"/>
  <c r="AZ183"/>
  <c r="AZ203"/>
  <c r="G523"/>
  <c r="BL297"/>
  <c r="G298"/>
  <c r="BA300"/>
  <c r="BL301"/>
  <c r="AZ301" s="1"/>
  <c r="G302"/>
  <c r="BA304"/>
  <c r="AZ304"/>
  <c r="BL305"/>
  <c r="G306"/>
  <c r="BA308"/>
  <c r="AZ308"/>
  <c r="BL309"/>
  <c r="AZ309" s="1"/>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BL337"/>
  <c r="AZ337" s="1"/>
  <c r="G338"/>
  <c r="BA340"/>
  <c r="AZ340"/>
  <c r="BL341"/>
  <c r="G342"/>
  <c r="BA344"/>
  <c r="AZ344"/>
  <c r="BL345"/>
  <c r="G346"/>
  <c r="BA348"/>
  <c r="AZ348"/>
  <c r="BL349"/>
  <c r="AZ349" s="1"/>
  <c r="G350"/>
  <c r="BA352"/>
  <c r="AZ352"/>
  <c r="BL353"/>
  <c r="G354"/>
  <c r="BA356"/>
  <c r="AZ356"/>
  <c r="BL357"/>
  <c r="G358"/>
  <c r="BA362"/>
  <c r="AZ362"/>
  <c r="BL363"/>
  <c r="G364"/>
  <c r="BA366"/>
  <c r="AZ366"/>
  <c r="BL367"/>
  <c r="AZ209"/>
  <c r="AZ213"/>
  <c r="AZ217"/>
  <c r="AZ233"/>
  <c r="AZ321"/>
  <c r="AZ353"/>
  <c r="AZ367"/>
  <c r="G368"/>
  <c r="BA370"/>
  <c r="AZ370" s="1"/>
  <c r="BL371"/>
  <c r="AZ371"/>
  <c r="G372"/>
  <c r="BA374"/>
  <c r="AZ374"/>
  <c r="BL375"/>
  <c r="G376"/>
  <c r="BA378"/>
  <c r="AZ378" s="1"/>
  <c r="BL379"/>
  <c r="G380"/>
  <c r="BA382"/>
  <c r="AZ382"/>
  <c r="BL383"/>
  <c r="G384"/>
  <c r="AZ261"/>
  <c r="AZ375"/>
  <c r="AZ383"/>
  <c r="AZ270"/>
  <c r="AZ286"/>
  <c r="AZ290"/>
  <c r="AZ303"/>
  <c r="AZ311"/>
  <c r="AZ313"/>
  <c r="AZ319"/>
  <c r="AZ339"/>
  <c r="AZ369"/>
  <c r="AZ385"/>
  <c r="AZ394"/>
  <c r="AZ398"/>
  <c r="AZ422"/>
  <c r="AZ430"/>
  <c r="AZ438"/>
  <c r="AZ446"/>
  <c r="AZ450"/>
  <c r="AZ455"/>
  <c r="AZ459"/>
  <c r="AZ475"/>
  <c r="AZ479"/>
  <c r="H7" i="48"/>
  <c r="F33" i="46"/>
  <c r="H16" i="48"/>
  <c r="H9"/>
  <c r="H8"/>
  <c r="C12" i="46"/>
  <c r="U43" i="21"/>
  <c r="AA13" i="40"/>
  <c r="E78"/>
  <c r="F78"/>
  <c r="G78"/>
  <c r="H78"/>
  <c r="I78" s="1"/>
  <c r="J78" s="1"/>
  <c r="K78"/>
  <c r="L78" s="1"/>
  <c r="M78" s="1"/>
  <c r="R16" i="4"/>
  <c r="P16"/>
  <c r="D3" i="35"/>
  <c r="G4" i="4"/>
  <c r="J16" i="35"/>
  <c r="W16" s="1"/>
  <c r="U42" i="21"/>
  <c r="AC26" i="36"/>
  <c r="AZ300" i="3"/>
  <c r="H13" i="39"/>
  <c r="AB13"/>
  <c r="F13"/>
  <c r="J13"/>
  <c r="AC13"/>
  <c r="AA36" i="35"/>
  <c r="H11" i="37"/>
  <c r="AB11" s="1"/>
  <c r="W37"/>
  <c r="AA30" i="33"/>
  <c r="AA36" i="37"/>
  <c r="AB17"/>
  <c r="AZ508" i="3"/>
  <c r="AC29" i="33"/>
  <c r="AA45"/>
  <c r="AC10" i="36"/>
  <c r="AC14" i="37"/>
  <c r="AB35" i="35"/>
  <c r="W44" i="33"/>
  <c r="AC30"/>
  <c r="W30"/>
  <c r="AC29" i="37"/>
  <c r="W32" i="36"/>
  <c r="AC32"/>
  <c r="AB28" i="33"/>
  <c r="J33" i="34"/>
  <c r="AC33" s="1"/>
  <c r="J40"/>
  <c r="W40" s="1"/>
  <c r="F16" i="35"/>
  <c r="AA16" s="1"/>
  <c r="S24" i="36"/>
  <c r="J35" i="34"/>
  <c r="AC35" s="1"/>
  <c r="F107"/>
  <c r="G107"/>
  <c r="H107" s="1"/>
  <c r="I107" s="1"/>
  <c r="J107" s="1"/>
  <c r="K107" s="1"/>
  <c r="L107" s="1"/>
  <c r="M107" s="1"/>
  <c r="S30" i="36"/>
  <c r="H16"/>
  <c r="AB16"/>
  <c r="K103" i="37"/>
  <c r="L103" s="1"/>
  <c r="M103" s="1"/>
  <c r="H35"/>
  <c r="AB35" s="1"/>
  <c r="S26" i="21"/>
  <c r="AB12"/>
  <c r="H32"/>
  <c r="U32" s="1"/>
  <c r="AA33"/>
  <c r="S33"/>
  <c r="J32"/>
  <c r="AC32" s="1"/>
  <c r="G13" i="3"/>
  <c r="AC5"/>
  <c r="F17" i="21"/>
  <c r="S17" s="1"/>
  <c r="H17"/>
  <c r="AB17"/>
  <c r="J17"/>
  <c r="AC17"/>
  <c r="H37"/>
  <c r="U37" s="1"/>
  <c r="F40"/>
  <c r="S40" s="1"/>
  <c r="H40"/>
  <c r="AB40" s="1"/>
  <c r="E119"/>
  <c r="F119" s="1"/>
  <c r="G119" s="1"/>
  <c r="H119" s="1"/>
  <c r="I119" s="1"/>
  <c r="J119" s="1"/>
  <c r="K119" s="1"/>
  <c r="L119" s="1"/>
  <c r="M119" s="1"/>
  <c r="AA8" i="33"/>
  <c r="S8"/>
  <c r="H66"/>
  <c r="F10"/>
  <c r="AA10" s="1"/>
  <c r="F11"/>
  <c r="S11" s="1"/>
  <c r="F35"/>
  <c r="AA35" s="1"/>
  <c r="F11" i="34"/>
  <c r="S11" s="1"/>
  <c r="E80"/>
  <c r="AC27"/>
  <c r="S12" i="35"/>
  <c r="AB28"/>
  <c r="U28"/>
  <c r="J13" i="33"/>
  <c r="W13" s="1"/>
  <c r="H13"/>
  <c r="U13"/>
  <c r="H29"/>
  <c r="AB29" s="1"/>
  <c r="F29"/>
  <c r="AA29" s="1"/>
  <c r="J12" i="34"/>
  <c r="AC12" s="1"/>
  <c r="H12"/>
  <c r="AB12" s="1"/>
  <c r="F12"/>
  <c r="S12" s="1"/>
  <c r="J14"/>
  <c r="W14" s="1"/>
  <c r="F14"/>
  <c r="S14"/>
  <c r="H14"/>
  <c r="AB14"/>
  <c r="H30"/>
  <c r="AB30" s="1"/>
  <c r="F30"/>
  <c r="S30" s="1"/>
  <c r="J30"/>
  <c r="W30" s="1"/>
  <c r="H32"/>
  <c r="AB32" s="1"/>
  <c r="F32"/>
  <c r="AA32"/>
  <c r="J32"/>
  <c r="W32"/>
  <c r="H46"/>
  <c r="AB46" s="1"/>
  <c r="F46"/>
  <c r="AA46" s="1"/>
  <c r="J46"/>
  <c r="AC46" s="1"/>
  <c r="H11" i="35"/>
  <c r="J11"/>
  <c r="AC11" s="1"/>
  <c r="F96" i="37"/>
  <c r="H32"/>
  <c r="AB32"/>
  <c r="F19" i="39"/>
  <c r="S19" s="1"/>
  <c r="H19"/>
  <c r="AB19" s="1"/>
  <c r="J19"/>
  <c r="W19" s="1"/>
  <c r="F43"/>
  <c r="H43"/>
  <c r="U43"/>
  <c r="J43"/>
  <c r="F99" i="37"/>
  <c r="G99" s="1"/>
  <c r="AC27"/>
  <c r="S45" i="34"/>
  <c r="AC40" i="37"/>
  <c r="W40"/>
  <c r="AC45" i="21"/>
  <c r="S28" i="33"/>
  <c r="S14" i="21"/>
  <c r="AB29" i="35"/>
  <c r="U29"/>
  <c r="AB43" i="34"/>
  <c r="AC34" i="37"/>
  <c r="S35"/>
  <c r="AA35"/>
  <c r="AB10" i="35"/>
  <c r="AA32" i="21"/>
  <c r="S32"/>
  <c r="U38"/>
  <c r="AB34"/>
  <c r="BL571" i="3"/>
  <c r="BA571"/>
  <c r="AZ571" s="1"/>
  <c r="BL570"/>
  <c r="BE5"/>
  <c r="F42" i="21"/>
  <c r="AA42" s="1"/>
  <c r="AB40" i="33"/>
  <c r="U40"/>
  <c r="S35" i="34"/>
  <c r="E90"/>
  <c r="F90" s="1"/>
  <c r="H27"/>
  <c r="AB27" s="1"/>
  <c r="AB8" i="35"/>
  <c r="S9"/>
  <c r="J14"/>
  <c r="AC14" s="1"/>
  <c r="F14"/>
  <c r="S14" s="1"/>
  <c r="H14"/>
  <c r="U14"/>
  <c r="E80"/>
  <c r="E94"/>
  <c r="F94"/>
  <c r="G94" s="1"/>
  <c r="H94" s="1"/>
  <c r="I94" s="1"/>
  <c r="J94" s="1"/>
  <c r="K94" s="1"/>
  <c r="L94" s="1"/>
  <c r="M94" s="1"/>
  <c r="J32"/>
  <c r="AC32"/>
  <c r="H11" i="36"/>
  <c r="AB11" s="1"/>
  <c r="F11"/>
  <c r="S11" s="1"/>
  <c r="W16"/>
  <c r="AC16"/>
  <c r="E78"/>
  <c r="F78" s="1"/>
  <c r="G78" s="1"/>
  <c r="H78" s="1"/>
  <c r="I78" s="1"/>
  <c r="J78"/>
  <c r="K78" s="1"/>
  <c r="L78" s="1"/>
  <c r="M78" s="1"/>
  <c r="F26"/>
  <c r="S26"/>
  <c r="H33"/>
  <c r="U33" s="1"/>
  <c r="F33"/>
  <c r="AA33" s="1"/>
  <c r="H27"/>
  <c r="AB27"/>
  <c r="AA31"/>
  <c r="AC26" i="37"/>
  <c r="W26"/>
  <c r="AB29"/>
  <c r="AA30"/>
  <c r="S30"/>
  <c r="AC30"/>
  <c r="AC31"/>
  <c r="W31"/>
  <c r="AB14"/>
  <c r="F17" i="39"/>
  <c r="AA17" s="1"/>
  <c r="H17"/>
  <c r="U17" s="1"/>
  <c r="J17"/>
  <c r="W17" s="1"/>
  <c r="F21"/>
  <c r="S21" s="1"/>
  <c r="H21"/>
  <c r="J21"/>
  <c r="W21" s="1"/>
  <c r="F33"/>
  <c r="H33"/>
  <c r="U33" s="1"/>
  <c r="J33"/>
  <c r="F44"/>
  <c r="S44"/>
  <c r="H44"/>
  <c r="U44"/>
  <c r="J44"/>
  <c r="W44"/>
  <c r="E128"/>
  <c r="F128" s="1"/>
  <c r="G128" s="1"/>
  <c r="H128" s="1"/>
  <c r="I128" s="1"/>
  <c r="J128" s="1"/>
  <c r="K128" s="1"/>
  <c r="L128" s="1"/>
  <c r="M128" s="1"/>
  <c r="F46"/>
  <c r="S46" s="1"/>
  <c r="H46"/>
  <c r="U46"/>
  <c r="J46"/>
  <c r="W46"/>
  <c r="F29"/>
  <c r="AA29" s="1"/>
  <c r="E103"/>
  <c r="F103" s="1"/>
  <c r="G103" s="1"/>
  <c r="H29"/>
  <c r="U29"/>
  <c r="F34"/>
  <c r="AA34" s="1"/>
  <c r="H34"/>
  <c r="J34"/>
  <c r="AC34" s="1"/>
  <c r="F39"/>
  <c r="H39"/>
  <c r="AB39"/>
  <c r="J39"/>
  <c r="J29" i="35"/>
  <c r="AC29"/>
  <c r="F29"/>
  <c r="S29" s="1"/>
  <c r="W30" i="36"/>
  <c r="AC30"/>
  <c r="F37" i="39"/>
  <c r="AA37" s="1"/>
  <c r="S37"/>
  <c r="H37"/>
  <c r="U37"/>
  <c r="J37"/>
  <c r="W37"/>
  <c r="BL568" i="3"/>
  <c r="BA568"/>
  <c r="AZ568" s="1"/>
  <c r="BL567"/>
  <c r="BA567"/>
  <c r="AZ567" s="1"/>
  <c r="BL566"/>
  <c r="AZ566" s="1"/>
  <c r="BL565"/>
  <c r="AZ565"/>
  <c r="BA564"/>
  <c r="AZ564"/>
  <c r="BA563"/>
  <c r="AZ563"/>
  <c r="BL554"/>
  <c r="AZ554" s="1"/>
  <c r="BA553"/>
  <c r="AZ553" s="1"/>
  <c r="BA552"/>
  <c r="AZ552" s="1"/>
  <c r="BL549"/>
  <c r="BA549"/>
  <c r="AZ549" s="1"/>
  <c r="BL548"/>
  <c r="BA548"/>
  <c r="BL547"/>
  <c r="BA547"/>
  <c r="BL539"/>
  <c r="BA539"/>
  <c r="AZ539"/>
  <c r="BA538"/>
  <c r="AZ538"/>
  <c r="BL537"/>
  <c r="BA537"/>
  <c r="BL536"/>
  <c r="AZ536" s="1"/>
  <c r="BA535"/>
  <c r="AZ535" s="1"/>
  <c r="BA534"/>
  <c r="AZ534" s="1"/>
  <c r="BA533"/>
  <c r="AZ533"/>
  <c r="BL531"/>
  <c r="AZ531"/>
  <c r="BL530"/>
  <c r="BA530"/>
  <c r="BL529"/>
  <c r="BA529"/>
  <c r="AZ529" s="1"/>
  <c r="BL528"/>
  <c r="BA527"/>
  <c r="AZ527" s="1"/>
  <c r="BA526"/>
  <c r="AZ526"/>
  <c r="BA525"/>
  <c r="AZ525"/>
  <c r="BL523"/>
  <c r="AZ523" s="1"/>
  <c r="BA523"/>
  <c r="BL522"/>
  <c r="BA522"/>
  <c r="BL521"/>
  <c r="AZ521" s="1"/>
  <c r="BA519"/>
  <c r="AZ519"/>
  <c r="BL518"/>
  <c r="BA518"/>
  <c r="AZ518"/>
  <c r="BL517"/>
  <c r="BA517"/>
  <c r="AZ517" s="1"/>
  <c r="BL515"/>
  <c r="AZ515" s="1"/>
  <c r="BA515"/>
  <c r="BA514"/>
  <c r="AZ514" s="1"/>
  <c r="BL513"/>
  <c r="BA513"/>
  <c r="AZ513" s="1"/>
  <c r="BL512"/>
  <c r="AZ512"/>
  <c r="BA511"/>
  <c r="AZ511"/>
  <c r="BA510"/>
  <c r="AZ510"/>
  <c r="BL509"/>
  <c r="AZ509"/>
  <c r="BL507"/>
  <c r="BA507"/>
  <c r="AZ507"/>
  <c r="BL506"/>
  <c r="BA506"/>
  <c r="AZ506"/>
  <c r="BL505"/>
  <c r="AZ505"/>
  <c r="BL504"/>
  <c r="BA504"/>
  <c r="BA503"/>
  <c r="AZ503"/>
  <c r="BA500"/>
  <c r="AZ500" s="1"/>
  <c r="BL499"/>
  <c r="AZ499" s="1"/>
  <c r="BA499"/>
  <c r="BL498"/>
  <c r="AZ498" s="1"/>
  <c r="BL497"/>
  <c r="BA497"/>
  <c r="BL496"/>
  <c r="AZ496" s="1"/>
  <c r="BA496"/>
  <c r="BA495"/>
  <c r="AZ495" s="1"/>
  <c r="BL494"/>
  <c r="BA494"/>
  <c r="AZ494"/>
  <c r="G494"/>
  <c r="BA491"/>
  <c r="AZ491"/>
  <c r="BL490"/>
  <c r="BA490"/>
  <c r="BL489"/>
  <c r="BA489"/>
  <c r="BL487"/>
  <c r="AZ487" s="1"/>
  <c r="BL486"/>
  <c r="BA486"/>
  <c r="BA485"/>
  <c r="AZ485"/>
  <c r="BA483"/>
  <c r="AZ483" s="1"/>
  <c r="BA482"/>
  <c r="AZ482"/>
  <c r="BL481"/>
  <c r="BJ5"/>
  <c r="BA481"/>
  <c r="AZ481" s="1"/>
  <c r="BL19"/>
  <c r="AZ19" s="1"/>
  <c r="BA18"/>
  <c r="F36" i="44"/>
  <c r="H38" i="34"/>
  <c r="U38" s="1"/>
  <c r="H30" i="40"/>
  <c r="AB30" s="1"/>
  <c r="G100"/>
  <c r="J30"/>
  <c r="AC30" s="1"/>
  <c r="F38"/>
  <c r="AA38" s="1"/>
  <c r="AC12" i="21"/>
  <c r="W12"/>
  <c r="AB33"/>
  <c r="S35"/>
  <c r="U8"/>
  <c r="S34"/>
  <c r="AC36"/>
  <c r="AB8" i="33"/>
  <c r="E106"/>
  <c r="H34"/>
  <c r="U34" s="1"/>
  <c r="F34"/>
  <c r="S34" s="1"/>
  <c r="E121"/>
  <c r="F41"/>
  <c r="S41" s="1"/>
  <c r="AA39" i="34"/>
  <c r="E78"/>
  <c r="F15"/>
  <c r="S15" s="1"/>
  <c r="AC28" i="35"/>
  <c r="W28"/>
  <c r="J20"/>
  <c r="AC20"/>
  <c r="E72"/>
  <c r="F72"/>
  <c r="G72"/>
  <c r="H22"/>
  <c r="AB22"/>
  <c r="H23"/>
  <c r="U23" s="1"/>
  <c r="F23"/>
  <c r="AA23"/>
  <c r="AB36"/>
  <c r="U36"/>
  <c r="W12" i="36"/>
  <c r="AC12"/>
  <c r="U31"/>
  <c r="S8" i="37"/>
  <c r="AA8"/>
  <c r="F14" i="39"/>
  <c r="AA14"/>
  <c r="H14"/>
  <c r="AB14" s="1"/>
  <c r="J14"/>
  <c r="W14" s="1"/>
  <c r="AC14"/>
  <c r="F16"/>
  <c r="H16"/>
  <c r="U16" s="1"/>
  <c r="J16"/>
  <c r="AC16"/>
  <c r="F23"/>
  <c r="AA23"/>
  <c r="E97"/>
  <c r="F27"/>
  <c r="AA27"/>
  <c r="H27"/>
  <c r="U27" s="1"/>
  <c r="J27"/>
  <c r="AC27"/>
  <c r="F15" i="40"/>
  <c r="AA15"/>
  <c r="J15"/>
  <c r="H15"/>
  <c r="AB15" s="1"/>
  <c r="E92"/>
  <c r="F92" s="1"/>
  <c r="H23"/>
  <c r="U23" s="1"/>
  <c r="H41"/>
  <c r="U41" s="1"/>
  <c r="F41"/>
  <c r="AA41" s="1"/>
  <c r="J41"/>
  <c r="F15" i="39"/>
  <c r="AA15"/>
  <c r="H15"/>
  <c r="U15"/>
  <c r="J15"/>
  <c r="AC15"/>
  <c r="H25"/>
  <c r="U25" s="1"/>
  <c r="J25"/>
  <c r="AC25" s="1"/>
  <c r="F25"/>
  <c r="AA25" s="1"/>
  <c r="F45"/>
  <c r="AA45" s="1"/>
  <c r="H45"/>
  <c r="U45"/>
  <c r="J45"/>
  <c r="AC45"/>
  <c r="F47"/>
  <c r="AA47"/>
  <c r="H47"/>
  <c r="U47" s="1"/>
  <c r="AB47"/>
  <c r="J47"/>
  <c r="W47" s="1"/>
  <c r="F41"/>
  <c r="AA41" s="1"/>
  <c r="H41"/>
  <c r="AB41"/>
  <c r="J41"/>
  <c r="AC41"/>
  <c r="E94" i="40"/>
  <c r="F94" s="1"/>
  <c r="G94" s="1"/>
  <c r="J25"/>
  <c r="AC25"/>
  <c r="H33"/>
  <c r="AB33" s="1"/>
  <c r="F33"/>
  <c r="J33"/>
  <c r="AC33"/>
  <c r="H35"/>
  <c r="AB35" s="1"/>
  <c r="F35"/>
  <c r="AA35" s="1"/>
  <c r="J35"/>
  <c r="AC35"/>
  <c r="J38" i="39"/>
  <c r="W38" s="1"/>
  <c r="H38"/>
  <c r="U38" s="1"/>
  <c r="J16" i="40"/>
  <c r="W16" s="1"/>
  <c r="J14"/>
  <c r="W14"/>
  <c r="H42"/>
  <c r="AB42" s="1"/>
  <c r="H40"/>
  <c r="U40" s="1"/>
  <c r="H34"/>
  <c r="U34"/>
  <c r="AZ403" i="3"/>
  <c r="AZ407"/>
  <c r="AZ415"/>
  <c r="AZ431"/>
  <c r="AZ439"/>
  <c r="AZ454"/>
  <c r="J42" i="40"/>
  <c r="AC42"/>
  <c r="J40"/>
  <c r="AC40" s="1"/>
  <c r="J34"/>
  <c r="AC34" s="1"/>
  <c r="H16"/>
  <c r="U16" s="1"/>
  <c r="AB16"/>
  <c r="H14"/>
  <c r="U14" s="1"/>
  <c r="AZ428" i="3"/>
  <c r="AZ444"/>
  <c r="AZ449"/>
  <c r="AZ452"/>
  <c r="M1" i="46"/>
  <c r="M6"/>
  <c r="M10"/>
  <c r="N2"/>
  <c r="N5"/>
  <c r="F58"/>
  <c r="H61" s="1"/>
  <c r="N7"/>
  <c r="AZ458" i="3"/>
  <c r="AZ461"/>
  <c r="AZ474"/>
  <c r="AZ212"/>
  <c r="AZ215"/>
  <c r="AZ223"/>
  <c r="AZ228"/>
  <c r="AZ236"/>
  <c r="AZ239"/>
  <c r="AZ247"/>
  <c r="AZ263"/>
  <c r="AZ124"/>
  <c r="M7" i="46"/>
  <c r="M11"/>
  <c r="N3"/>
  <c r="N6"/>
  <c r="N10"/>
  <c r="AZ24" i="3"/>
  <c r="AZ32"/>
  <c r="AZ40"/>
  <c r="AZ48"/>
  <c r="AZ112"/>
  <c r="J13" i="40"/>
  <c r="W13" s="1"/>
  <c r="AB14"/>
  <c r="W40"/>
  <c r="AC14"/>
  <c r="W35"/>
  <c r="AC47" i="39"/>
  <c r="S47"/>
  <c r="AC41" i="40"/>
  <c r="W41"/>
  <c r="J23"/>
  <c r="W23" s="1"/>
  <c r="G92"/>
  <c r="F23"/>
  <c r="S23" s="1"/>
  <c r="AC15"/>
  <c r="W15"/>
  <c r="W27" i="39"/>
  <c r="S23"/>
  <c r="AB16"/>
  <c r="H20" i="35"/>
  <c r="U20" s="1"/>
  <c r="F20"/>
  <c r="AA20" s="1"/>
  <c r="S20"/>
  <c r="H15" i="34"/>
  <c r="AB15" s="1"/>
  <c r="F78"/>
  <c r="G78"/>
  <c r="J15"/>
  <c r="W15" s="1"/>
  <c r="H41" i="33"/>
  <c r="AB41" s="1"/>
  <c r="F121"/>
  <c r="G121" s="1"/>
  <c r="H121" s="1"/>
  <c r="I121"/>
  <c r="J121" s="1"/>
  <c r="K121" s="1"/>
  <c r="L121" s="1"/>
  <c r="M121" s="1"/>
  <c r="F30" i="40"/>
  <c r="S30" s="1"/>
  <c r="AA30"/>
  <c r="H100"/>
  <c r="I100"/>
  <c r="J100"/>
  <c r="K100" s="1"/>
  <c r="L100" s="1"/>
  <c r="M100" s="1"/>
  <c r="AZ486" i="3"/>
  <c r="AZ497"/>
  <c r="AZ504"/>
  <c r="AZ530"/>
  <c r="AZ537"/>
  <c r="AZ547"/>
  <c r="AZ548"/>
  <c r="AB37" i="39"/>
  <c r="AA29" i="35"/>
  <c r="U39" i="39"/>
  <c r="J29"/>
  <c r="AC29"/>
  <c r="AB21"/>
  <c r="U21"/>
  <c r="AB17"/>
  <c r="AB33" i="36"/>
  <c r="AA11"/>
  <c r="AA14" i="35"/>
  <c r="F33" i="37"/>
  <c r="AA33" s="1"/>
  <c r="U19" i="39"/>
  <c r="AC30" i="34"/>
  <c r="AA14"/>
  <c r="W12"/>
  <c r="AC13" i="33"/>
  <c r="AA11" i="34"/>
  <c r="AA11" i="33"/>
  <c r="U17" i="21"/>
  <c r="S13" i="39"/>
  <c r="AA13"/>
  <c r="AB34" i="40"/>
  <c r="AC16"/>
  <c r="H25"/>
  <c r="AB25" s="1"/>
  <c r="W15" i="39"/>
  <c r="S41" i="40"/>
  <c r="AB23"/>
  <c r="H23" i="39"/>
  <c r="AB23"/>
  <c r="J23"/>
  <c r="AC23" s="1"/>
  <c r="F97"/>
  <c r="G97" s="1"/>
  <c r="F106" i="33"/>
  <c r="G106"/>
  <c r="H106" s="1"/>
  <c r="I106" s="1"/>
  <c r="J106" s="1"/>
  <c r="K106" s="1"/>
  <c r="L106" s="1"/>
  <c r="M106" s="1"/>
  <c r="J34"/>
  <c r="AC34" s="1"/>
  <c r="W29" i="35"/>
  <c r="AC39" i="39"/>
  <c r="W39"/>
  <c r="AA39"/>
  <c r="S39"/>
  <c r="AB29"/>
  <c r="AB46"/>
  <c r="AB44"/>
  <c r="AC33"/>
  <c r="W33"/>
  <c r="U11" i="36"/>
  <c r="F80" i="35"/>
  <c r="G80" s="1"/>
  <c r="H80" s="1"/>
  <c r="I80" s="1"/>
  <c r="J80" s="1"/>
  <c r="K80" s="1"/>
  <c r="L80" s="1"/>
  <c r="M80" s="1"/>
  <c r="W14"/>
  <c r="G90" i="34"/>
  <c r="H90"/>
  <c r="I90" s="1"/>
  <c r="J90" s="1"/>
  <c r="K90" s="1"/>
  <c r="L90" s="1"/>
  <c r="M90" s="1"/>
  <c r="F27"/>
  <c r="S27" s="1"/>
  <c r="AC43" i="39"/>
  <c r="W43"/>
  <c r="AA19"/>
  <c r="G96" i="37"/>
  <c r="H96"/>
  <c r="I96"/>
  <c r="J96" s="1"/>
  <c r="K96"/>
  <c r="L96" s="1"/>
  <c r="M96" s="1"/>
  <c r="F32"/>
  <c r="S32" s="1"/>
  <c r="U11" i="35"/>
  <c r="AB11"/>
  <c r="U32" i="34"/>
  <c r="U14"/>
  <c r="U12"/>
  <c r="AB13" i="33"/>
  <c r="F17" i="34"/>
  <c r="AA17" s="1"/>
  <c r="J17"/>
  <c r="AC17" s="1"/>
  <c r="H11"/>
  <c r="AB11" s="1"/>
  <c r="J35" i="33"/>
  <c r="W35" s="1"/>
  <c r="H11"/>
  <c r="U11" s="1"/>
  <c r="H10"/>
  <c r="U10" s="1"/>
  <c r="I66"/>
  <c r="J10"/>
  <c r="AC10" s="1"/>
  <c r="U11" i="37"/>
  <c r="U13" i="39"/>
  <c r="AC16" i="35"/>
  <c r="AC13" i="40"/>
  <c r="J11" i="34"/>
  <c r="W11" s="1"/>
  <c r="F25" i="40"/>
  <c r="AA25" s="1"/>
  <c r="J11" i="33"/>
  <c r="W11" s="1"/>
  <c r="H33" i="37"/>
  <c r="AB33"/>
  <c r="AP11" i="1"/>
  <c r="B11"/>
  <c r="E11" s="1"/>
  <c r="K11"/>
  <c r="M11" s="1"/>
  <c r="O11" s="1"/>
  <c r="P11" s="1"/>
  <c r="B9"/>
  <c r="E9" s="1"/>
  <c r="K9"/>
  <c r="M9" s="1"/>
  <c r="B7"/>
  <c r="E7"/>
  <c r="F6"/>
  <c r="AP6" s="1"/>
  <c r="M22" i="44"/>
  <c r="AC25" i="36"/>
  <c r="S23"/>
  <c r="S8"/>
  <c r="AA26"/>
  <c r="AA28"/>
  <c r="U25"/>
  <c r="H20"/>
  <c r="U20"/>
  <c r="F68"/>
  <c r="G68" s="1"/>
  <c r="J20"/>
  <c r="AC20" s="1"/>
  <c r="F20"/>
  <c r="S20"/>
  <c r="F62"/>
  <c r="G62"/>
  <c r="J14"/>
  <c r="W14" s="1"/>
  <c r="H14"/>
  <c r="U14" s="1"/>
  <c r="F14"/>
  <c r="AA14" s="1"/>
  <c r="W20"/>
  <c r="U27"/>
  <c r="U32"/>
  <c r="AB12"/>
  <c r="U9"/>
  <c r="S33"/>
  <c r="AA27"/>
  <c r="S16"/>
  <c r="S29"/>
  <c r="AC33" i="35"/>
  <c r="U22"/>
  <c r="AA13"/>
  <c r="AC9"/>
  <c r="S8"/>
  <c r="U33"/>
  <c r="W20"/>
  <c r="S23"/>
  <c r="S16"/>
  <c r="AB14"/>
  <c r="AC10"/>
  <c r="U9"/>
  <c r="W13"/>
  <c r="AC18"/>
  <c r="W18"/>
  <c r="U18"/>
  <c r="AB18"/>
  <c r="S30"/>
  <c r="AA35"/>
  <c r="AB30"/>
  <c r="S27"/>
  <c r="S28"/>
  <c r="J26"/>
  <c r="F26"/>
  <c r="AA26" s="1"/>
  <c r="H26"/>
  <c r="AB9" i="37"/>
  <c r="W12"/>
  <c r="AA9"/>
  <c r="S17"/>
  <c r="AB37"/>
  <c r="AA31"/>
  <c r="S33"/>
  <c r="U32"/>
  <c r="AA32"/>
  <c r="J33"/>
  <c r="AC33" s="1"/>
  <c r="W33"/>
  <c r="H99"/>
  <c r="I99"/>
  <c r="J99" s="1"/>
  <c r="K99" s="1"/>
  <c r="L99" s="1"/>
  <c r="M99" s="1"/>
  <c r="S29"/>
  <c r="J19"/>
  <c r="AC19"/>
  <c r="G75"/>
  <c r="F19"/>
  <c r="AA19"/>
  <c r="H19"/>
  <c r="J17"/>
  <c r="S15"/>
  <c r="AC10"/>
  <c r="AC21"/>
  <c r="W21"/>
  <c r="AC11"/>
  <c r="AC9"/>
  <c r="W32"/>
  <c r="U35"/>
  <c r="U8"/>
  <c r="AB21"/>
  <c r="U21"/>
  <c r="S37"/>
  <c r="S40"/>
  <c r="AA11"/>
  <c r="S10"/>
  <c r="AC45" i="34"/>
  <c r="AA40"/>
  <c r="U30"/>
  <c r="S32"/>
  <c r="AB33"/>
  <c r="AA12"/>
  <c r="AA30"/>
  <c r="AC32"/>
  <c r="U44"/>
  <c r="J25"/>
  <c r="AC25" s="1"/>
  <c r="H25"/>
  <c r="AB25" s="1"/>
  <c r="J23"/>
  <c r="AC23" s="1"/>
  <c r="F23"/>
  <c r="S23" s="1"/>
  <c r="H23"/>
  <c r="AB23" s="1"/>
  <c r="W29"/>
  <c r="AC21"/>
  <c r="W21"/>
  <c r="AB21"/>
  <c r="U21"/>
  <c r="U27"/>
  <c r="AB41"/>
  <c r="S13"/>
  <c r="AA41"/>
  <c r="AC12" i="33"/>
  <c r="W31"/>
  <c r="W43"/>
  <c r="U46"/>
  <c r="W39"/>
  <c r="AB34"/>
  <c r="W26"/>
  <c r="J23"/>
  <c r="W23" s="1"/>
  <c r="F17"/>
  <c r="AA17" s="1"/>
  <c r="H17"/>
  <c r="AB17" s="1"/>
  <c r="J17"/>
  <c r="W17" s="1"/>
  <c r="S14"/>
  <c r="AC21"/>
  <c r="W21"/>
  <c r="W14"/>
  <c r="AB21"/>
  <c r="U21"/>
  <c r="AA21"/>
  <c r="S21"/>
  <c r="AA44"/>
  <c r="S44" i="21"/>
  <c r="W39"/>
  <c r="AC34"/>
  <c r="W32"/>
  <c r="U35"/>
  <c r="W43"/>
  <c r="AA37"/>
  <c r="S42"/>
  <c r="AB37"/>
  <c r="AB32"/>
  <c r="W28"/>
  <c r="AC46"/>
  <c r="AC26"/>
  <c r="F85"/>
  <c r="G85" s="1"/>
  <c r="J23"/>
  <c r="AC23" s="1"/>
  <c r="F23"/>
  <c r="H23"/>
  <c r="U23" s="1"/>
  <c r="AA17"/>
  <c r="W17"/>
  <c r="F15"/>
  <c r="S15"/>
  <c r="F77"/>
  <c r="G77" s="1"/>
  <c r="J15"/>
  <c r="W15" s="1"/>
  <c r="H15"/>
  <c r="AB15" s="1"/>
  <c r="AC11"/>
  <c r="AB11"/>
  <c r="W13"/>
  <c r="AA11"/>
  <c r="AC21"/>
  <c r="W21"/>
  <c r="W44"/>
  <c r="AC19"/>
  <c r="AC38"/>
  <c r="AB21"/>
  <c r="U21"/>
  <c r="AB29"/>
  <c r="AA30"/>
  <c r="AA31"/>
  <c r="W33" i="40"/>
  <c r="U33"/>
  <c r="S35"/>
  <c r="U15"/>
  <c r="S14"/>
  <c r="S15"/>
  <c r="AB13"/>
  <c r="S16"/>
  <c r="W11"/>
  <c r="AA21"/>
  <c r="U21"/>
  <c r="W25"/>
  <c r="U25"/>
  <c r="W42"/>
  <c r="U35"/>
  <c r="F37"/>
  <c r="S37" s="1"/>
  <c r="J37"/>
  <c r="AC37" s="1"/>
  <c r="H37"/>
  <c r="G113"/>
  <c r="H113"/>
  <c r="I113"/>
  <c r="J113" s="1"/>
  <c r="K113" s="1"/>
  <c r="L113" s="1"/>
  <c r="M113" s="1"/>
  <c r="F39"/>
  <c r="S38"/>
  <c r="H39"/>
  <c r="J39"/>
  <c r="W38"/>
  <c r="F29"/>
  <c r="AA29" s="1"/>
  <c r="H29"/>
  <c r="U29" s="1"/>
  <c r="J29"/>
  <c r="F98"/>
  <c r="G98"/>
  <c r="H98"/>
  <c r="I98" s="1"/>
  <c r="J98" s="1"/>
  <c r="K98" s="1"/>
  <c r="L98" s="1"/>
  <c r="M98" s="1"/>
  <c r="AA23"/>
  <c r="F88"/>
  <c r="G88" s="1"/>
  <c r="F19"/>
  <c r="H19"/>
  <c r="U19" s="1"/>
  <c r="J19"/>
  <c r="W17"/>
  <c r="AC17"/>
  <c r="F17"/>
  <c r="AA17" s="1"/>
  <c r="H17"/>
  <c r="AB17"/>
  <c r="W21"/>
  <c r="AB40"/>
  <c r="U10"/>
  <c r="U27"/>
  <c r="AB27"/>
  <c r="AC44" i="39"/>
  <c r="W13"/>
  <c r="S11"/>
  <c r="AB45"/>
  <c r="S27"/>
  <c r="AA21"/>
  <c r="AC19"/>
  <c r="AC38"/>
  <c r="W29"/>
  <c r="S29"/>
  <c r="AC21"/>
  <c r="AC17"/>
  <c r="S14"/>
  <c r="AB15"/>
  <c r="U11"/>
  <c r="U41"/>
  <c r="U23"/>
  <c r="U31"/>
  <c r="AB31"/>
  <c r="S25"/>
  <c r="S38"/>
  <c r="S22" i="31"/>
  <c r="B20" s="1"/>
  <c r="M20" i="15"/>
  <c r="A18" i="64"/>
  <c r="B74" i="63" s="1"/>
  <c r="C53" i="10"/>
  <c r="A25" i="64" s="1"/>
  <c r="A18" i="51"/>
  <c r="B14" i="63" s="1"/>
  <c r="BA16" i="3"/>
  <c r="BA17"/>
  <c r="AZ17"/>
  <c r="K1" i="43"/>
  <c r="K1" i="12"/>
  <c r="G1" i="44"/>
  <c r="AZ15" i="3"/>
  <c r="BK5"/>
  <c r="BO5"/>
  <c r="BP5"/>
  <c r="BN5"/>
  <c r="BL18"/>
  <c r="AZ18"/>
  <c r="BC5"/>
  <c r="BD5"/>
  <c r="BR5"/>
  <c r="BS5"/>
  <c r="BQ5"/>
  <c r="BL16"/>
  <c r="BM5"/>
  <c r="F29" i="6" s="1"/>
  <c r="BA13" i="3"/>
  <c r="G28" i="12"/>
  <c r="G26"/>
  <c r="D24" i="44"/>
  <c r="D26"/>
  <c r="G23" i="43"/>
  <c r="N8" i="46"/>
  <c r="N4"/>
  <c r="N1"/>
  <c r="F47"/>
  <c r="H52" s="1"/>
  <c r="M9"/>
  <c r="M2"/>
  <c r="N11"/>
  <c r="N9"/>
  <c r="M4"/>
  <c r="M12"/>
  <c r="M8"/>
  <c r="M3"/>
  <c r="M5"/>
  <c r="C6"/>
  <c r="H6" i="48"/>
  <c r="H15"/>
  <c r="H5"/>
  <c r="H14"/>
  <c r="F36" i="46"/>
  <c r="K17"/>
  <c r="F39"/>
  <c r="H13" i="48"/>
  <c r="H11"/>
  <c r="D17" i="46"/>
  <c r="D71"/>
  <c r="D84"/>
  <c r="E80"/>
  <c r="B78" s="1"/>
  <c r="D69"/>
  <c r="E47"/>
  <c r="B45" s="1"/>
  <c r="A4" i="64"/>
  <c r="A4" i="51"/>
  <c r="B6" i="63" s="1"/>
  <c r="C51" i="10"/>
  <c r="I100" i="46"/>
  <c r="N100"/>
  <c r="H100"/>
  <c r="F108"/>
  <c r="E100"/>
  <c r="G100"/>
  <c r="H84"/>
  <c r="C100"/>
  <c r="J100"/>
  <c r="M100"/>
  <c r="AA12" i="36"/>
  <c r="W11" i="35"/>
  <c r="AA11"/>
  <c r="S14" i="37"/>
  <c r="U13"/>
  <c r="S13" i="21"/>
  <c r="C24" i="9"/>
  <c r="C25"/>
  <c r="G9" i="1"/>
  <c r="L5" i="54"/>
  <c r="B39" i="63" s="1"/>
  <c r="K5" i="54"/>
  <c r="A3" i="55" s="1"/>
  <c r="B56" i="63" s="1"/>
  <c r="T41" i="4"/>
  <c r="A17" i="64" s="1"/>
  <c r="B46" i="50"/>
  <c r="B4" i="63"/>
  <c r="A22" i="51"/>
  <c r="B16" i="63" s="1"/>
  <c r="H82" i="46"/>
  <c r="H10" i="48"/>
  <c r="H87" i="46"/>
  <c r="H83"/>
  <c r="S11" i="1"/>
  <c r="R11"/>
  <c r="S13"/>
  <c r="R13"/>
  <c r="B6"/>
  <c r="E6" s="1"/>
  <c r="S10"/>
  <c r="B8"/>
  <c r="E8"/>
  <c r="B12"/>
  <c r="E12"/>
  <c r="S12"/>
  <c r="K6"/>
  <c r="M6" s="1"/>
  <c r="G1" i="15"/>
  <c r="F66" i="36"/>
  <c r="H18"/>
  <c r="U18" s="1"/>
  <c r="U16"/>
  <c r="S25"/>
  <c r="AA34"/>
  <c r="U23"/>
  <c r="AC27"/>
  <c r="W28"/>
  <c r="AA32"/>
  <c r="U13"/>
  <c r="AA22"/>
  <c r="U10"/>
  <c r="AA13"/>
  <c r="W29"/>
  <c r="W9"/>
  <c r="S9"/>
  <c r="W8"/>
  <c r="AC30" i="35"/>
  <c r="U24"/>
  <c r="W32"/>
  <c r="S24"/>
  <c r="AA33"/>
  <c r="U32"/>
  <c r="W22"/>
  <c r="W34"/>
  <c r="S32"/>
  <c r="W35" i="37"/>
  <c r="U33"/>
  <c r="AC15"/>
  <c r="AA13"/>
  <c r="S12"/>
  <c r="W38"/>
  <c r="W36"/>
  <c r="U26"/>
  <c r="AB28"/>
  <c r="S28"/>
  <c r="W13"/>
  <c r="U38"/>
  <c r="S26"/>
  <c r="AA31" i="34"/>
  <c r="AB29"/>
  <c r="AB47"/>
  <c r="AB13"/>
  <c r="AC13"/>
  <c r="S47"/>
  <c r="AA29"/>
  <c r="S8"/>
  <c r="AB14" i="33"/>
  <c r="AB12"/>
  <c r="S39" i="21"/>
  <c r="AB25"/>
  <c r="W25"/>
  <c r="AA25"/>
  <c r="AC37"/>
  <c r="AA29"/>
  <c r="U27"/>
  <c r="W31"/>
  <c r="S27"/>
  <c r="AA15"/>
  <c r="AC27"/>
  <c r="W29"/>
  <c r="G96" i="40"/>
  <c r="J27"/>
  <c r="W37"/>
  <c r="W30"/>
  <c r="S34"/>
  <c r="U17"/>
  <c r="U38"/>
  <c r="S40"/>
  <c r="S42"/>
  <c r="G105" i="39"/>
  <c r="J31"/>
  <c r="S45"/>
  <c r="W41"/>
  <c r="AB43"/>
  <c r="AB33"/>
  <c r="AC46"/>
  <c r="S34"/>
  <c r="W42"/>
  <c r="W36"/>
  <c r="W23"/>
  <c r="AC37"/>
  <c r="U14"/>
  <c r="W16"/>
  <c r="S15"/>
  <c r="W25"/>
  <c r="W45"/>
  <c r="S41"/>
  <c r="AA44"/>
  <c r="AA46"/>
  <c r="W34"/>
  <c r="W10"/>
  <c r="W11"/>
  <c r="U42"/>
  <c r="W40"/>
  <c r="C27"/>
  <c r="C17" i="40"/>
  <c r="C19"/>
  <c r="C17" i="39"/>
  <c r="C19"/>
  <c r="C21"/>
  <c r="C23" i="40"/>
  <c r="B48" i="46"/>
  <c r="B51"/>
  <c r="B55"/>
  <c r="B62"/>
  <c r="B66"/>
  <c r="B53"/>
  <c r="B64"/>
  <c r="D24" i="15"/>
  <c r="F28" i="6"/>
  <c r="S14" i="36"/>
  <c r="AB20"/>
  <c r="AA20"/>
  <c r="AC14"/>
  <c r="AB14"/>
  <c r="S26" i="35"/>
  <c r="U26"/>
  <c r="AB26"/>
  <c r="W26"/>
  <c r="AC26"/>
  <c r="S19" i="37"/>
  <c r="W19"/>
  <c r="AB19"/>
  <c r="U19"/>
  <c r="AC17"/>
  <c r="W17"/>
  <c r="AB23" i="21"/>
  <c r="AA23"/>
  <c r="S23"/>
  <c r="U15"/>
  <c r="AB39" i="40"/>
  <c r="U39"/>
  <c r="AC39"/>
  <c r="W39"/>
  <c r="AA39"/>
  <c r="S39"/>
  <c r="U37"/>
  <c r="AB37"/>
  <c r="AA37"/>
  <c r="AB29"/>
  <c r="AC29"/>
  <c r="W29"/>
  <c r="S29"/>
  <c r="W19"/>
  <c r="AC19"/>
  <c r="AA19"/>
  <c r="S19"/>
  <c r="AB19"/>
  <c r="W31" i="39"/>
  <c r="AC31"/>
  <c r="R22" i="31"/>
  <c r="B21"/>
  <c r="AT6" i="3"/>
  <c r="G29" i="6"/>
  <c r="AZ16" i="3"/>
  <c r="A9" i="64"/>
  <c r="A9" i="51"/>
  <c r="B9" i="63" s="1"/>
  <c r="E4" i="4"/>
  <c r="B21" i="55" s="1"/>
  <c r="B72" i="63" s="1"/>
  <c r="C4" i="4"/>
  <c r="B20" i="55" s="1"/>
  <c r="B70" i="63" s="1"/>
  <c r="G66" i="36"/>
  <c r="J18"/>
  <c r="AE6" i="1"/>
  <c r="W18" i="36"/>
  <c r="AC18"/>
  <c r="AG6" i="1"/>
  <c r="L20" i="6"/>
  <c r="S9" i="1"/>
  <c r="R9"/>
  <c r="C45" i="9"/>
  <c r="O40" s="1"/>
  <c r="R7" i="54" s="1"/>
  <c r="B52" i="63" s="1"/>
  <c r="C44" i="9"/>
  <c r="K29"/>
  <c r="K30" s="1"/>
  <c r="N76"/>
  <c r="C46"/>
  <c r="I14" i="66" s="1"/>
  <c r="B8" s="1"/>
  <c r="H58" i="46"/>
  <c r="J17"/>
  <c r="C17"/>
  <c r="F34"/>
  <c r="F38"/>
  <c r="F37"/>
  <c r="H113"/>
  <c r="D17" i="59"/>
  <c r="C16"/>
  <c r="C15" s="1"/>
  <c r="C14" s="1"/>
  <c r="D16"/>
  <c r="U14"/>
  <c r="H1" i="65"/>
  <c r="X7" i="46"/>
  <c r="E17"/>
  <c r="N17"/>
  <c r="O17"/>
  <c r="M17"/>
  <c r="L17"/>
  <c r="P13" i="1"/>
  <c r="P12"/>
  <c r="G13"/>
  <c r="F35" i="46"/>
  <c r="I17"/>
  <c r="H63"/>
  <c r="H64"/>
  <c r="H66"/>
  <c r="D100"/>
  <c r="H62"/>
  <c r="AF12"/>
  <c r="K100"/>
  <c r="AB12"/>
  <c r="AJ12"/>
  <c r="H60"/>
  <c r="H59"/>
  <c r="H65"/>
  <c r="E10"/>
  <c r="E9"/>
  <c r="E11"/>
  <c r="E8"/>
  <c r="C7" s="1"/>
  <c r="H47"/>
  <c r="AD12"/>
  <c r="AH12"/>
  <c r="B15" i="59"/>
  <c r="B14" s="1"/>
  <c r="B13" s="1"/>
  <c r="B12" s="1"/>
  <c r="B11" s="1"/>
  <c r="S14"/>
  <c r="D15"/>
  <c r="B10" i="67"/>
  <c r="F45" i="44"/>
  <c r="N4" i="65"/>
  <c r="I6"/>
  <c r="M28" i="44"/>
  <c r="F43"/>
  <c r="F18"/>
  <c r="I5" i="65"/>
  <c r="M30" i="44"/>
  <c r="M8"/>
  <c r="E14" i="67"/>
  <c r="J17" i="44"/>
  <c r="M26"/>
  <c r="F8" i="67"/>
  <c r="F11" i="44"/>
  <c r="F13" i="15"/>
  <c r="F28" i="44"/>
  <c r="B13" i="67"/>
  <c r="N7" i="65"/>
  <c r="L49" i="44"/>
  <c r="B14" i="67"/>
  <c r="F15" i="44"/>
  <c r="M31"/>
  <c r="F38"/>
  <c r="M24" i="15"/>
  <c r="F9" i="44"/>
  <c r="F11" i="67"/>
  <c r="B12"/>
  <c r="F13"/>
  <c r="N5" i="65"/>
  <c r="N6"/>
  <c r="F9" i="67"/>
  <c r="E10"/>
  <c r="E9"/>
  <c r="J6" i="65"/>
  <c r="F39" i="44"/>
  <c r="M10"/>
  <c r="J3" i="65"/>
  <c r="B9" i="67"/>
  <c r="E11"/>
  <c r="B8"/>
  <c r="F10" i="44"/>
  <c r="I4" i="65"/>
  <c r="M11" i="44"/>
  <c r="M25"/>
  <c r="M29"/>
  <c r="F10" i="67"/>
  <c r="F14"/>
  <c r="E13"/>
  <c r="B11"/>
  <c r="J5" i="65"/>
  <c r="L48" i="44"/>
  <c r="E8" i="67"/>
  <c r="F12"/>
  <c r="E12"/>
  <c r="N3" i="65"/>
  <c r="F40" i="15"/>
  <c r="U25" i="34" l="1"/>
  <c r="AC11"/>
  <c r="L16" i="4"/>
  <c r="G12" i="1"/>
  <c r="AB32" i="40"/>
  <c r="U32"/>
  <c r="H55" i="46"/>
  <c r="H14" i="66"/>
  <c r="B7" s="1"/>
  <c r="K10" i="1"/>
  <c r="M10" s="1"/>
  <c r="O10" s="1"/>
  <c r="P10" s="1"/>
  <c r="H80" i="46"/>
  <c r="F3" i="35"/>
  <c r="C7"/>
  <c r="C48" s="1"/>
  <c r="D48" s="1"/>
  <c r="E48" s="1"/>
  <c r="F48" s="1"/>
  <c r="G48" s="1"/>
  <c r="H48" s="1"/>
  <c r="I48" s="1"/>
  <c r="J48" s="1"/>
  <c r="K48" s="1"/>
  <c r="L48" s="1"/>
  <c r="M48" s="1"/>
  <c r="N48" s="1"/>
  <c r="O48" s="1"/>
  <c r="C7" i="36"/>
  <c r="C46" s="1"/>
  <c r="D46" s="1"/>
  <c r="E46" s="1"/>
  <c r="F46" s="1"/>
  <c r="G46" s="1"/>
  <c r="H46" s="1"/>
  <c r="D38" i="4"/>
  <c r="C39" s="1"/>
  <c r="R10" i="1"/>
  <c r="G19" i="46"/>
  <c r="O19" s="1"/>
  <c r="H54"/>
  <c r="H50"/>
  <c r="J32" i="40"/>
  <c r="C7" i="33"/>
  <c r="C58" s="1"/>
  <c r="D58" s="1"/>
  <c r="C9" i="40"/>
  <c r="C65" s="1"/>
  <c r="D65" s="1"/>
  <c r="N67" i="9"/>
  <c r="O41"/>
  <c r="R8" i="54" s="1"/>
  <c r="B54" i="63" s="1"/>
  <c r="H85" i="46"/>
  <c r="H86"/>
  <c r="B38" i="63"/>
  <c r="F69" i="46"/>
  <c r="F32" i="40"/>
  <c r="C7" i="37"/>
  <c r="C52" s="1"/>
  <c r="D52" s="1"/>
  <c r="E52" s="1"/>
  <c r="F52" s="1"/>
  <c r="G52" s="1"/>
  <c r="H52" s="1"/>
  <c r="I52" s="1"/>
  <c r="J52" s="1"/>
  <c r="K52" s="1"/>
  <c r="A26" i="64"/>
  <c r="C13" i="59"/>
  <c r="T14"/>
  <c r="D14"/>
  <c r="K31" i="9"/>
  <c r="K32" s="1"/>
  <c r="A17" i="51"/>
  <c r="B13" i="63" s="1"/>
  <c r="AC27" i="40"/>
  <c r="W27"/>
  <c r="N69" i="9"/>
  <c r="O39"/>
  <c r="R6" i="54" s="1"/>
  <c r="B50" i="63" s="1"/>
  <c r="G14" i="66"/>
  <c r="B6" s="1"/>
  <c r="K33" i="9"/>
  <c r="K34" s="1"/>
  <c r="H49" i="46"/>
  <c r="H51"/>
  <c r="H48"/>
  <c r="H53"/>
  <c r="AB18" i="36"/>
  <c r="U30" i="40"/>
  <c r="W34"/>
  <c r="AB34" i="39"/>
  <c r="U34"/>
  <c r="AZ299" i="3"/>
  <c r="AZ550"/>
  <c r="AA27" i="37"/>
  <c r="S27"/>
  <c r="AZ572" i="3"/>
  <c r="AC9" i="34"/>
  <c r="W9"/>
  <c r="S17" i="40"/>
  <c r="W23" i="21"/>
  <c r="S17" i="39"/>
  <c r="AC23" i="40"/>
  <c r="F9" i="21"/>
  <c r="S9" s="1"/>
  <c r="H9"/>
  <c r="AB9" s="1"/>
  <c r="J9"/>
  <c r="E91" i="33"/>
  <c r="F91" s="1"/>
  <c r="G91" s="1"/>
  <c r="H91" s="1"/>
  <c r="I91" s="1"/>
  <c r="J91" s="1"/>
  <c r="K91" s="1"/>
  <c r="L91" s="1"/>
  <c r="M91" s="1"/>
  <c r="F27"/>
  <c r="S27" s="1"/>
  <c r="U15" i="37"/>
  <c r="AB15"/>
  <c r="U25" i="35"/>
  <c r="AB25"/>
  <c r="AZ522" i="3"/>
  <c r="AA33" i="39"/>
  <c r="S33"/>
  <c r="AZ347" i="3"/>
  <c r="AB30" i="33"/>
  <c r="U30"/>
  <c r="S23" i="37"/>
  <c r="AA23"/>
  <c r="W42" i="21"/>
  <c r="W14"/>
  <c r="AC14"/>
  <c r="AC15"/>
  <c r="AB38" i="39"/>
  <c r="W28" i="37"/>
  <c r="AB20" i="35"/>
  <c r="U40" i="21"/>
  <c r="AC14" i="34"/>
  <c r="AA40" i="21"/>
  <c r="AB23" i="35"/>
  <c r="AB25" i="39"/>
  <c r="AA33" i="40"/>
  <c r="S33"/>
  <c r="AZ524" i="3"/>
  <c r="AB14" i="21"/>
  <c r="S25" i="40"/>
  <c r="S16" i="39"/>
  <c r="AA16"/>
  <c r="AZ528" i="3"/>
  <c r="U31" i="34"/>
  <c r="AB31"/>
  <c r="AA46" i="33"/>
  <c r="S46"/>
  <c r="AA13"/>
  <c r="S13"/>
  <c r="AB36" i="21"/>
  <c r="U36"/>
  <c r="AB41" i="40"/>
  <c r="AB27" i="39"/>
  <c r="AZ489" i="3"/>
  <c r="AA43" i="39"/>
  <c r="S43"/>
  <c r="AZ570" i="3"/>
  <c r="J9" i="33"/>
  <c r="AC9" s="1"/>
  <c r="F9"/>
  <c r="AA9" s="1"/>
  <c r="H9"/>
  <c r="U9" s="1"/>
  <c r="U42" i="40"/>
  <c r="AZ490" i="3"/>
  <c r="F80" i="34"/>
  <c r="G80" s="1"/>
  <c r="H17"/>
  <c r="AB17" s="1"/>
  <c r="AB39" i="21"/>
  <c r="U39"/>
  <c r="AZ546" i="3"/>
  <c r="U28" i="36"/>
  <c r="AB28"/>
  <c r="U16" i="35"/>
  <c r="AB16"/>
  <c r="AB26" i="21"/>
  <c r="U26"/>
  <c r="W35" i="35"/>
  <c r="AA43" i="21"/>
  <c r="AB44" i="33"/>
  <c r="H5" i="3"/>
  <c r="S12" i="33"/>
  <c r="H12" i="35"/>
  <c r="H25" i="37"/>
  <c r="F25"/>
  <c r="J25"/>
  <c r="AZ397" i="3"/>
  <c r="AB45" i="34"/>
  <c r="J47"/>
  <c r="B69" i="72"/>
  <c r="B69" i="71"/>
  <c r="H9" i="34"/>
  <c r="AB9" s="1"/>
  <c r="J34" i="36"/>
  <c r="H34"/>
  <c r="AC41" i="21"/>
  <c r="W41"/>
  <c r="AC11" i="36"/>
  <c r="AB31" i="37"/>
  <c r="AA36" i="21"/>
  <c r="H27" i="33"/>
  <c r="U27" s="1"/>
  <c r="J12" i="35"/>
  <c r="F25"/>
  <c r="G563" i="3"/>
  <c r="H45" i="21"/>
  <c r="F45"/>
  <c r="W39" i="37"/>
  <c r="BI5" i="3"/>
  <c r="H28" i="34"/>
  <c r="BH5" i="3"/>
  <c r="B80" i="71"/>
  <c r="B80" i="72"/>
  <c r="B80" i="46"/>
  <c r="AB45" i="33"/>
  <c r="BG5" i="3"/>
  <c r="AZ409"/>
  <c r="AZ419"/>
  <c r="AZ457"/>
  <c r="AZ443"/>
  <c r="AZ447"/>
  <c r="AZ448"/>
  <c r="AZ453"/>
  <c r="AZ37"/>
  <c r="BT5"/>
  <c r="G28" i="6" s="1"/>
  <c r="F34" i="15"/>
  <c r="F61" s="1"/>
  <c r="M20" i="77"/>
  <c r="F34"/>
  <c r="F61" s="1"/>
  <c r="BA399" i="3"/>
  <c r="BL412"/>
  <c r="BA441"/>
  <c r="AZ441" s="1"/>
  <c r="BA442"/>
  <c r="AZ442" s="1"/>
  <c r="BA465"/>
  <c r="AZ465" s="1"/>
  <c r="G470"/>
  <c r="BA297"/>
  <c r="AZ297" s="1"/>
  <c r="G305"/>
  <c r="BA315"/>
  <c r="AZ315" s="1"/>
  <c r="G347"/>
  <c r="G205"/>
  <c r="AZ266"/>
  <c r="K145" i="21"/>
  <c r="AZ408" i="3"/>
  <c r="AZ417"/>
  <c r="BL426"/>
  <c r="AZ426" s="1"/>
  <c r="BL436"/>
  <c r="AZ436" s="1"/>
  <c r="BA451"/>
  <c r="BL456"/>
  <c r="AZ456" s="1"/>
  <c r="G465"/>
  <c r="BL472"/>
  <c r="AZ472" s="1"/>
  <c r="BL476"/>
  <c r="BA477"/>
  <c r="AZ477" s="1"/>
  <c r="BL334"/>
  <c r="G345"/>
  <c r="BA210"/>
  <c r="AZ210" s="1"/>
  <c r="BA226"/>
  <c r="AZ226" s="1"/>
  <c r="B81" i="72"/>
  <c r="B81" i="71"/>
  <c r="BL391" i="3"/>
  <c r="AZ476"/>
  <c r="AZ116"/>
  <c r="G399"/>
  <c r="BA208"/>
  <c r="AZ208" s="1"/>
  <c r="AZ224"/>
  <c r="AZ175"/>
  <c r="BA389"/>
  <c r="AZ389" s="1"/>
  <c r="BA391"/>
  <c r="AZ391" s="1"/>
  <c r="G450"/>
  <c r="G455"/>
  <c r="BL467"/>
  <c r="BA205"/>
  <c r="AZ205" s="1"/>
  <c r="BA225"/>
  <c r="AZ225" s="1"/>
  <c r="B87" i="71"/>
  <c r="B87" i="72"/>
  <c r="BA390" i="3"/>
  <c r="AZ390" s="1"/>
  <c r="BL390"/>
  <c r="BL414"/>
  <c r="BA467"/>
  <c r="AZ467" s="1"/>
  <c r="AZ468"/>
  <c r="BA469"/>
  <c r="AZ469" s="1"/>
  <c r="BA471"/>
  <c r="AZ471" s="1"/>
  <c r="BA318"/>
  <c r="BL318"/>
  <c r="BA333"/>
  <c r="AZ333" s="1"/>
  <c r="AZ386"/>
  <c r="BA388"/>
  <c r="AZ388" s="1"/>
  <c r="BA207"/>
  <c r="AZ207" s="1"/>
  <c r="AZ168"/>
  <c r="BL395"/>
  <c r="BL396"/>
  <c r="AZ396" s="1"/>
  <c r="BL399"/>
  <c r="BL400"/>
  <c r="BL401"/>
  <c r="AZ401" s="1"/>
  <c r="BL405"/>
  <c r="BL413"/>
  <c r="BL423"/>
  <c r="BL433"/>
  <c r="BL463"/>
  <c r="AZ463" s="1"/>
  <c r="G212"/>
  <c r="BA395"/>
  <c r="BL409"/>
  <c r="BL410"/>
  <c r="AZ410" s="1"/>
  <c r="BA413"/>
  <c r="BA414"/>
  <c r="AZ414" s="1"/>
  <c r="BL432"/>
  <c r="BL462"/>
  <c r="BA466"/>
  <c r="AZ466" s="1"/>
  <c r="AZ243"/>
  <c r="AZ280"/>
  <c r="BA400"/>
  <c r="BA405"/>
  <c r="AZ405" s="1"/>
  <c r="BA412"/>
  <c r="BL418"/>
  <c r="AZ418" s="1"/>
  <c r="BL419"/>
  <c r="BA423"/>
  <c r="BA424"/>
  <c r="AZ424" s="1"/>
  <c r="BL427"/>
  <c r="AZ427" s="1"/>
  <c r="BA432"/>
  <c r="AZ432" s="1"/>
  <c r="BA433"/>
  <c r="BA434"/>
  <c r="AZ434" s="1"/>
  <c r="BL437"/>
  <c r="AZ437" s="1"/>
  <c r="BL443"/>
  <c r="BL451"/>
  <c r="BL457"/>
  <c r="BA462"/>
  <c r="AZ462" s="1"/>
  <c r="BA317"/>
  <c r="AZ317" s="1"/>
  <c r="BA219"/>
  <c r="AZ219" s="1"/>
  <c r="BA220"/>
  <c r="AZ220" s="1"/>
  <c r="BA250"/>
  <c r="AZ250" s="1"/>
  <c r="AZ145"/>
  <c r="BA357"/>
  <c r="AZ357" s="1"/>
  <c r="BL235"/>
  <c r="G239"/>
  <c r="BL246"/>
  <c r="BL265"/>
  <c r="AZ265" s="1"/>
  <c r="BL269"/>
  <c r="BL272"/>
  <c r="BL275"/>
  <c r="BL279"/>
  <c r="AZ279" s="1"/>
  <c r="BL282"/>
  <c r="AZ282" s="1"/>
  <c r="BL283"/>
  <c r="BL288"/>
  <c r="AZ288" s="1"/>
  <c r="BL293"/>
  <c r="AZ293" s="1"/>
  <c r="BL296"/>
  <c r="AZ296" s="1"/>
  <c r="BL113"/>
  <c r="AZ117"/>
  <c r="BA133"/>
  <c r="BA143"/>
  <c r="AZ143" s="1"/>
  <c r="G156"/>
  <c r="BL165"/>
  <c r="AZ165" s="1"/>
  <c r="BA167"/>
  <c r="AZ167" s="1"/>
  <c r="BL167"/>
  <c r="BL171"/>
  <c r="BL172"/>
  <c r="AZ172" s="1"/>
  <c r="AZ176"/>
  <c r="BA202"/>
  <c r="AZ202" s="1"/>
  <c r="BA62"/>
  <c r="BL351"/>
  <c r="AZ351" s="1"/>
  <c r="BL211"/>
  <c r="G214"/>
  <c r="BA245"/>
  <c r="AZ245" s="1"/>
  <c r="BA246"/>
  <c r="BL255"/>
  <c r="BA264"/>
  <c r="AZ264" s="1"/>
  <c r="AZ275"/>
  <c r="BL278"/>
  <c r="AZ278" s="1"/>
  <c r="BA119"/>
  <c r="AZ119" s="1"/>
  <c r="BA235"/>
  <c r="BA244"/>
  <c r="AZ244" s="1"/>
  <c r="BA262"/>
  <c r="AZ262" s="1"/>
  <c r="BA273"/>
  <c r="AZ273" s="1"/>
  <c r="BA276"/>
  <c r="AZ276" s="1"/>
  <c r="BA283"/>
  <c r="AZ283" s="1"/>
  <c r="BA284"/>
  <c r="AZ284" s="1"/>
  <c r="BA289"/>
  <c r="AZ289" s="1"/>
  <c r="BA113"/>
  <c r="AZ113" s="1"/>
  <c r="BL136"/>
  <c r="BA140"/>
  <c r="AZ140" s="1"/>
  <c r="BA159"/>
  <c r="AZ159" s="1"/>
  <c r="BA199"/>
  <c r="AZ199" s="1"/>
  <c r="AZ61"/>
  <c r="X15" i="59"/>
  <c r="X3"/>
  <c r="BA350" i="3"/>
  <c r="AZ350" s="1"/>
  <c r="BA211"/>
  <c r="AZ211" s="1"/>
  <c r="BL227"/>
  <c r="G231"/>
  <c r="BL237"/>
  <c r="AZ237" s="1"/>
  <c r="BL251"/>
  <c r="BA259"/>
  <c r="AZ259" s="1"/>
  <c r="BA260"/>
  <c r="AZ260" s="1"/>
  <c r="BA267"/>
  <c r="AZ267" s="1"/>
  <c r="BA271"/>
  <c r="AZ271" s="1"/>
  <c r="BA274"/>
  <c r="AZ274" s="1"/>
  <c r="BA281"/>
  <c r="AZ281" s="1"/>
  <c r="BA291"/>
  <c r="AZ291" s="1"/>
  <c r="BA295"/>
  <c r="AZ295" s="1"/>
  <c r="G126"/>
  <c r="BL137"/>
  <c r="AZ137" s="1"/>
  <c r="BA139"/>
  <c r="AZ139" s="1"/>
  <c r="BA164"/>
  <c r="AZ164" s="1"/>
  <c r="BL164"/>
  <c r="BA170"/>
  <c r="AZ170" s="1"/>
  <c r="BL178"/>
  <c r="AZ178" s="1"/>
  <c r="BL191"/>
  <c r="AZ191" s="1"/>
  <c r="AZ54"/>
  <c r="AZ227"/>
  <c r="AZ251"/>
  <c r="BA253"/>
  <c r="AZ253" s="1"/>
  <c r="AZ269"/>
  <c r="BL133"/>
  <c r="BA162"/>
  <c r="AZ162" s="1"/>
  <c r="AZ198"/>
  <c r="BA341"/>
  <c r="AZ341" s="1"/>
  <c r="G209"/>
  <c r="G223"/>
  <c r="BL229"/>
  <c r="AZ229" s="1"/>
  <c r="BA238"/>
  <c r="AZ238" s="1"/>
  <c r="BL240"/>
  <c r="BA249"/>
  <c r="AZ249" s="1"/>
  <c r="BA255"/>
  <c r="AZ255" s="1"/>
  <c r="BA257"/>
  <c r="AZ257" s="1"/>
  <c r="BA268"/>
  <c r="AZ268" s="1"/>
  <c r="BA287"/>
  <c r="AZ287" s="1"/>
  <c r="BA292"/>
  <c r="AZ292" s="1"/>
  <c r="BL130"/>
  <c r="AZ130" s="1"/>
  <c r="BA135"/>
  <c r="AZ135" s="1"/>
  <c r="BL142"/>
  <c r="AZ142" s="1"/>
  <c r="BL186"/>
  <c r="AZ186" s="1"/>
  <c r="AZ21"/>
  <c r="BL335"/>
  <c r="AZ335" s="1"/>
  <c r="BL207"/>
  <c r="BA252"/>
  <c r="AZ252" s="1"/>
  <c r="G118"/>
  <c r="BL129"/>
  <c r="BA136"/>
  <c r="BL153"/>
  <c r="AZ153" s="1"/>
  <c r="BA155"/>
  <c r="AZ155" s="1"/>
  <c r="G177"/>
  <c r="BL182"/>
  <c r="BA189"/>
  <c r="AZ189" s="1"/>
  <c r="BL34"/>
  <c r="BL39"/>
  <c r="BL46"/>
  <c r="BL76"/>
  <c r="BA90"/>
  <c r="BA334"/>
  <c r="AZ334" s="1"/>
  <c r="BA206"/>
  <c r="AZ206" s="1"/>
  <c r="BL221"/>
  <c r="BL231"/>
  <c r="AZ231" s="1"/>
  <c r="BA240"/>
  <c r="AZ277"/>
  <c r="BL121"/>
  <c r="AZ121" s="1"/>
  <c r="BA128"/>
  <c r="BL128"/>
  <c r="AZ129"/>
  <c r="AZ141"/>
  <c r="BA156"/>
  <c r="BL180"/>
  <c r="AZ182"/>
  <c r="BA187"/>
  <c r="AZ187" s="1"/>
  <c r="BL187"/>
  <c r="BA325"/>
  <c r="AZ325" s="1"/>
  <c r="G388"/>
  <c r="BL232"/>
  <c r="AZ232" s="1"/>
  <c r="BA241"/>
  <c r="AZ241" s="1"/>
  <c r="G263"/>
  <c r="BA272"/>
  <c r="AZ272" s="1"/>
  <c r="BL150"/>
  <c r="AZ150" s="1"/>
  <c r="BA154"/>
  <c r="AZ154" s="1"/>
  <c r="AZ171"/>
  <c r="BA185"/>
  <c r="AZ185" s="1"/>
  <c r="BA38"/>
  <c r="BA39"/>
  <c r="AZ39" s="1"/>
  <c r="BL75"/>
  <c r="BL386"/>
  <c r="BL216"/>
  <c r="AZ216" s="1"/>
  <c r="BA221"/>
  <c r="BA230"/>
  <c r="AZ230" s="1"/>
  <c r="BA258"/>
  <c r="AZ258" s="1"/>
  <c r="G282"/>
  <c r="BL122"/>
  <c r="AZ122" s="1"/>
  <c r="BA125"/>
  <c r="AZ125" s="1"/>
  <c r="BL144"/>
  <c r="AZ144" s="1"/>
  <c r="BA151"/>
  <c r="AZ151" s="1"/>
  <c r="BA152"/>
  <c r="AZ152" s="1"/>
  <c r="BL156"/>
  <c r="BA163"/>
  <c r="AZ163" s="1"/>
  <c r="BL177"/>
  <c r="AZ177" s="1"/>
  <c r="BA180"/>
  <c r="AZ180" s="1"/>
  <c r="BA181"/>
  <c r="AZ181" s="1"/>
  <c r="AZ29"/>
  <c r="BL33"/>
  <c r="AZ34"/>
  <c r="BL57"/>
  <c r="AZ57" s="1"/>
  <c r="BA75"/>
  <c r="AZ75" s="1"/>
  <c r="AZ76"/>
  <c r="BA222"/>
  <c r="AZ222" s="1"/>
  <c r="BL243"/>
  <c r="G255"/>
  <c r="G287"/>
  <c r="BA120"/>
  <c r="BL120"/>
  <c r="BA127"/>
  <c r="AZ127" s="1"/>
  <c r="BL134"/>
  <c r="AZ134" s="1"/>
  <c r="BL145"/>
  <c r="G170"/>
  <c r="BA179"/>
  <c r="AZ179" s="1"/>
  <c r="BA195"/>
  <c r="AZ195" s="1"/>
  <c r="BL22"/>
  <c r="AZ22" s="1"/>
  <c r="BL37"/>
  <c r="C25" i="59"/>
  <c r="D24"/>
  <c r="AB18"/>
  <c r="F18"/>
  <c r="AB3"/>
  <c r="BL204" i="3"/>
  <c r="AZ204" s="1"/>
  <c r="BL43"/>
  <c r="AZ43" s="1"/>
  <c r="BA68"/>
  <c r="AZ68" s="1"/>
  <c r="BA81"/>
  <c r="AZ81" s="1"/>
  <c r="P61" i="59"/>
  <c r="E60"/>
  <c r="AA13"/>
  <c r="AB6"/>
  <c r="BA42" i="3"/>
  <c r="AZ42" s="1"/>
  <c r="G46"/>
  <c r="BA50"/>
  <c r="AZ50" s="1"/>
  <c r="G55"/>
  <c r="BL69"/>
  <c r="BL78"/>
  <c r="BL83"/>
  <c r="BA86"/>
  <c r="AZ86" s="1"/>
  <c r="BL88"/>
  <c r="BL90"/>
  <c r="BL93"/>
  <c r="AZ93" s="1"/>
  <c r="G109"/>
  <c r="P27" i="6"/>
  <c r="C33" i="59"/>
  <c r="D32"/>
  <c r="V62"/>
  <c r="Q62"/>
  <c r="F61"/>
  <c r="BL52" i="3"/>
  <c r="AZ52" s="1"/>
  <c r="BA69"/>
  <c r="BA71"/>
  <c r="AZ71" s="1"/>
  <c r="BL73"/>
  <c r="BA78"/>
  <c r="BA83"/>
  <c r="BA85"/>
  <c r="AZ85" s="1"/>
  <c r="BA88"/>
  <c r="AZ88" s="1"/>
  <c r="BA89"/>
  <c r="AZ89" s="1"/>
  <c r="BL91"/>
  <c r="AZ91" s="1"/>
  <c r="E34" i="59"/>
  <c r="C46"/>
  <c r="D45"/>
  <c r="F50"/>
  <c r="V50" s="1"/>
  <c r="X20"/>
  <c r="BL198" i="3"/>
  <c r="BL53"/>
  <c r="AZ53" s="1"/>
  <c r="BL61"/>
  <c r="BA72"/>
  <c r="AZ72" s="1"/>
  <c r="BA94"/>
  <c r="AZ94" s="1"/>
  <c r="BL96"/>
  <c r="BL102"/>
  <c r="C57" i="59"/>
  <c r="D56"/>
  <c r="BL38" i="3"/>
  <c r="BA51"/>
  <c r="AZ51" s="1"/>
  <c r="BL62"/>
  <c r="BL74"/>
  <c r="BL92"/>
  <c r="BA95"/>
  <c r="AZ95" s="1"/>
  <c r="BL97"/>
  <c r="BL99"/>
  <c r="BL100"/>
  <c r="AZ100" s="1"/>
  <c r="BA102"/>
  <c r="AZ102" s="1"/>
  <c r="BA103"/>
  <c r="AZ103" s="1"/>
  <c r="BL105"/>
  <c r="BL110"/>
  <c r="BL111"/>
  <c r="I21" i="57"/>
  <c r="D1" s="1"/>
  <c r="E10" s="1"/>
  <c r="BA197" i="3"/>
  <c r="AZ197" s="1"/>
  <c r="BL55"/>
  <c r="AZ55" s="1"/>
  <c r="BA60"/>
  <c r="AZ60" s="1"/>
  <c r="BA63"/>
  <c r="AZ63" s="1"/>
  <c r="BL64"/>
  <c r="AZ64" s="1"/>
  <c r="BA74"/>
  <c r="AZ74" s="1"/>
  <c r="BA87"/>
  <c r="AZ87" s="1"/>
  <c r="BA92"/>
  <c r="AZ92" s="1"/>
  <c r="BA97"/>
  <c r="AZ97" s="1"/>
  <c r="BA104"/>
  <c r="AZ104" s="1"/>
  <c r="BL107"/>
  <c r="AZ107" s="1"/>
  <c r="BL108"/>
  <c r="BL109"/>
  <c r="AZ109" s="1"/>
  <c r="BA111"/>
  <c r="B54" i="59"/>
  <c r="S54" s="1"/>
  <c r="G193" i="3"/>
  <c r="G36"/>
  <c r="BL65"/>
  <c r="G81"/>
  <c r="BA99"/>
  <c r="AZ99" s="1"/>
  <c r="BL101"/>
  <c r="BL106"/>
  <c r="C53" i="59"/>
  <c r="D52"/>
  <c r="F21"/>
  <c r="F20" s="1"/>
  <c r="V22"/>
  <c r="Y11"/>
  <c r="Z11" s="1"/>
  <c r="BL190" i="3"/>
  <c r="AZ190" s="1"/>
  <c r="BA33"/>
  <c r="AZ33" s="1"/>
  <c r="BL47"/>
  <c r="BL56"/>
  <c r="BA65"/>
  <c r="AZ65" s="1"/>
  <c r="BA73"/>
  <c r="AZ73" s="1"/>
  <c r="BA101"/>
  <c r="BA106"/>
  <c r="AZ106" s="1"/>
  <c r="AZ108"/>
  <c r="AA21" i="37"/>
  <c r="S21"/>
  <c r="D69" i="59"/>
  <c r="C68"/>
  <c r="D68" s="1"/>
  <c r="BA47" i="3"/>
  <c r="BA56"/>
  <c r="AZ96"/>
  <c r="AA31" i="39"/>
  <c r="S31"/>
  <c r="AA27" i="59"/>
  <c r="E28"/>
  <c r="E29" s="1"/>
  <c r="E30" s="1"/>
  <c r="U30" s="1"/>
  <c r="C37"/>
  <c r="D36"/>
  <c r="S70"/>
  <c r="B69"/>
  <c r="B68" s="1"/>
  <c r="E13"/>
  <c r="E12" s="1"/>
  <c r="E11" s="1"/>
  <c r="BL29" i="3"/>
  <c r="BA46"/>
  <c r="AZ46" s="1"/>
  <c r="G60"/>
  <c r="G72"/>
  <c r="BL79"/>
  <c r="AZ79" s="1"/>
  <c r="BA105"/>
  <c r="BA110"/>
  <c r="G1" i="77"/>
  <c r="N4" i="63"/>
  <c r="X7" i="59"/>
  <c r="AA9"/>
  <c r="Y24"/>
  <c r="Z24" s="1"/>
  <c r="AA30"/>
  <c r="AB21"/>
  <c r="Y16"/>
  <c r="Z16" s="1"/>
  <c r="E17" i="71"/>
  <c r="E17" i="72"/>
  <c r="C16" s="1"/>
  <c r="AA12" i="59"/>
  <c r="AA11"/>
  <c r="X8"/>
  <c r="L100" i="46"/>
  <c r="S27" i="40"/>
  <c r="D40" i="59"/>
  <c r="AA3"/>
  <c r="AA24"/>
  <c r="AB27"/>
  <c r="AB30"/>
  <c r="AA21"/>
  <c r="X17"/>
  <c r="Y15"/>
  <c r="Z15" s="1"/>
  <c r="AB13"/>
  <c r="AB11"/>
  <c r="F34"/>
  <c r="V34" s="1"/>
  <c r="AB24"/>
  <c r="AA31"/>
  <c r="Y21"/>
  <c r="Z21" s="1"/>
  <c r="Y17"/>
  <c r="Z17" s="1"/>
  <c r="AA16"/>
  <c r="AB12"/>
  <c r="X10"/>
  <c r="AB5"/>
  <c r="X5"/>
  <c r="X25"/>
  <c r="Y28"/>
  <c r="Z28" s="1"/>
  <c r="AA10" i="46"/>
  <c r="X21" i="59"/>
  <c r="AA17"/>
  <c r="AA15"/>
  <c r="X14"/>
  <c r="Y10"/>
  <c r="Z10" s="1"/>
  <c r="AB7"/>
  <c r="X6"/>
  <c r="S18" i="35"/>
  <c r="C76" i="59"/>
  <c r="D76" s="1"/>
  <c r="C80"/>
  <c r="D80" s="1"/>
  <c r="C29"/>
  <c r="Y25"/>
  <c r="Z25" s="1"/>
  <c r="X27"/>
  <c r="AA28"/>
  <c r="AB31"/>
  <c r="X22"/>
  <c r="Y20"/>
  <c r="Z20" s="1"/>
  <c r="Y19"/>
  <c r="Z19" s="1"/>
  <c r="AB17"/>
  <c r="AB16"/>
  <c r="Y14"/>
  <c r="Z14" s="1"/>
  <c r="AA10"/>
  <c r="X9"/>
  <c r="D50"/>
  <c r="X23"/>
  <c r="AA25"/>
  <c r="AB28"/>
  <c r="Y22"/>
  <c r="Z22" s="1"/>
  <c r="AB20"/>
  <c r="AA19"/>
  <c r="AB15"/>
  <c r="AA14"/>
  <c r="AB10"/>
  <c r="AB8"/>
  <c r="Y8"/>
  <c r="Z8" s="1"/>
  <c r="AB25"/>
  <c r="Y27"/>
  <c r="Z27" s="1"/>
  <c r="X29"/>
  <c r="Y32"/>
  <c r="Z32" s="1"/>
  <c r="AA22"/>
  <c r="T18"/>
  <c r="E22"/>
  <c r="AB19"/>
  <c r="AB14"/>
  <c r="AB9"/>
  <c r="Y7"/>
  <c r="Z7" s="1"/>
  <c r="Y23"/>
  <c r="Z23" s="1"/>
  <c r="X26"/>
  <c r="Y29"/>
  <c r="Z29" s="1"/>
  <c r="X31"/>
  <c r="AA32"/>
  <c r="AB22"/>
  <c r="X19"/>
  <c r="X13"/>
  <c r="AA5"/>
  <c r="Y5"/>
  <c r="Z5" s="1"/>
  <c r="AA23"/>
  <c r="Y26"/>
  <c r="Z26" s="1"/>
  <c r="AA29"/>
  <c r="AB32"/>
  <c r="C22"/>
  <c r="X18"/>
  <c r="X12"/>
  <c r="AA6"/>
  <c r="Y6"/>
  <c r="Z6" s="1"/>
  <c r="B84" i="71"/>
  <c r="B84" i="72"/>
  <c r="E58" i="46"/>
  <c r="B56" s="1"/>
  <c r="B85" i="71"/>
  <c r="B85" i="72"/>
  <c r="AA26" i="59"/>
  <c r="AB29"/>
  <c r="Y31"/>
  <c r="Z31" s="1"/>
  <c r="B22"/>
  <c r="Y18"/>
  <c r="Z18" s="1"/>
  <c r="Y13"/>
  <c r="Z13" s="1"/>
  <c r="AA8"/>
  <c r="Y9"/>
  <c r="Z9" s="1"/>
  <c r="D23" i="15"/>
  <c r="AB23" i="59"/>
  <c r="AB26"/>
  <c r="Y33"/>
  <c r="Z33" s="1"/>
  <c r="AA20"/>
  <c r="AA18"/>
  <c r="X16"/>
  <c r="Y12"/>
  <c r="Z12" s="1"/>
  <c r="X11"/>
  <c r="AA7"/>
  <c r="W46" i="34"/>
  <c r="S46"/>
  <c r="U46"/>
  <c r="W46" i="33"/>
  <c r="U38"/>
  <c r="W38"/>
  <c r="S29"/>
  <c r="U29"/>
  <c r="M43" i="9"/>
  <c r="D18"/>
  <c r="M44" s="1"/>
  <c r="A30" i="64"/>
  <c r="A30" i="51"/>
  <c r="B22" i="63" s="1"/>
  <c r="B51" i="71"/>
  <c r="B72" i="72"/>
  <c r="B62"/>
  <c r="B51"/>
  <c r="B72" i="71"/>
  <c r="B62"/>
  <c r="B72" i="46"/>
  <c r="B76" i="71"/>
  <c r="B55"/>
  <c r="B76" i="72"/>
  <c r="B66"/>
  <c r="B55"/>
  <c r="B66" i="71"/>
  <c r="H113" i="33"/>
  <c r="I113" s="1"/>
  <c r="J113" s="1"/>
  <c r="K113" s="1"/>
  <c r="L113" s="1"/>
  <c r="M113" s="1"/>
  <c r="F85"/>
  <c r="G85" s="1"/>
  <c r="H23"/>
  <c r="U23" s="1"/>
  <c r="F23"/>
  <c r="AA23" s="1"/>
  <c r="B74" i="72"/>
  <c r="B54"/>
  <c r="B74" i="71"/>
  <c r="B65"/>
  <c r="B54"/>
  <c r="B65" i="72"/>
  <c r="B64"/>
  <c r="B53"/>
  <c r="B73" i="71"/>
  <c r="B73" i="72"/>
  <c r="B64" i="71"/>
  <c r="B53"/>
  <c r="B73" i="46"/>
  <c r="B70" i="72"/>
  <c r="B70" i="71"/>
  <c r="B48"/>
  <c r="B59" i="72"/>
  <c r="B48"/>
  <c r="B59" i="71"/>
  <c r="B59" i="46"/>
  <c r="C23" i="39"/>
  <c r="B70" i="46"/>
  <c r="B58" i="71"/>
  <c r="B58" i="72"/>
  <c r="B47"/>
  <c r="B47" i="71"/>
  <c r="E29" i="6"/>
  <c r="K15" i="1" s="1"/>
  <c r="W10" i="34"/>
  <c r="W25"/>
  <c r="W23"/>
  <c r="U15"/>
  <c r="AB8"/>
  <c r="AB38"/>
  <c r="U39"/>
  <c r="F88"/>
  <c r="G88" s="1"/>
  <c r="H88" s="1"/>
  <c r="I88" s="1"/>
  <c r="J88" s="1"/>
  <c r="K88" s="1"/>
  <c r="L88" s="1"/>
  <c r="M88" s="1"/>
  <c r="F25"/>
  <c r="S25" s="1"/>
  <c r="F82"/>
  <c r="G82" s="1"/>
  <c r="H19"/>
  <c r="J19"/>
  <c r="F19"/>
  <c r="AA19" s="1"/>
  <c r="AC43"/>
  <c r="W44"/>
  <c r="H112"/>
  <c r="I112" s="1"/>
  <c r="J112" s="1"/>
  <c r="K112" s="1"/>
  <c r="L112" s="1"/>
  <c r="M112" s="1"/>
  <c r="F37"/>
  <c r="H37"/>
  <c r="J37"/>
  <c r="AA23"/>
  <c r="AA15"/>
  <c r="W35"/>
  <c r="W33"/>
  <c r="AC40"/>
  <c r="AB40"/>
  <c r="AC41"/>
  <c r="S43"/>
  <c r="AA44"/>
  <c r="F101" i="33"/>
  <c r="F32" s="1"/>
  <c r="F111"/>
  <c r="AA33" i="34"/>
  <c r="AA36"/>
  <c r="AB36"/>
  <c r="AC36"/>
  <c r="AB35"/>
  <c r="AC28"/>
  <c r="AA28"/>
  <c r="AA27"/>
  <c r="J42" i="33"/>
  <c r="AC42" s="1"/>
  <c r="H42"/>
  <c r="U42" s="1"/>
  <c r="G87"/>
  <c r="H25"/>
  <c r="AB25" s="1"/>
  <c r="F25"/>
  <c r="S25" s="1"/>
  <c r="U11" i="34"/>
  <c r="U23"/>
  <c r="S21"/>
  <c r="W17"/>
  <c r="S17"/>
  <c r="AC15"/>
  <c r="S10"/>
  <c r="U10"/>
  <c r="U9"/>
  <c r="S9"/>
  <c r="AC23" i="33"/>
  <c r="AC17"/>
  <c r="U17"/>
  <c r="G123"/>
  <c r="H123" s="1"/>
  <c r="I123" s="1"/>
  <c r="J123" s="1"/>
  <c r="K123" s="1"/>
  <c r="L123" s="1"/>
  <c r="M123" s="1"/>
  <c r="F42"/>
  <c r="AA42" s="1"/>
  <c r="F77"/>
  <c r="G77" s="1"/>
  <c r="F15"/>
  <c r="J15"/>
  <c r="W15" s="1"/>
  <c r="H15"/>
  <c r="F19"/>
  <c r="S19" s="1"/>
  <c r="H19"/>
  <c r="F81"/>
  <c r="G81" s="1"/>
  <c r="J19"/>
  <c r="S26"/>
  <c r="AB10"/>
  <c r="S10"/>
  <c r="W10"/>
  <c r="AB11"/>
  <c r="AC11"/>
  <c r="S43"/>
  <c r="AB43"/>
  <c r="AA41"/>
  <c r="U41"/>
  <c r="U39"/>
  <c r="W42"/>
  <c r="W41"/>
  <c r="S39"/>
  <c r="U37"/>
  <c r="S37"/>
  <c r="AC37"/>
  <c r="U35"/>
  <c r="S35"/>
  <c r="AC35"/>
  <c r="W34"/>
  <c r="AA34"/>
  <c r="W27"/>
  <c r="AB26"/>
  <c r="AC28"/>
  <c r="AA27"/>
  <c r="AC8"/>
  <c r="S9"/>
  <c r="W9"/>
  <c r="AB9"/>
  <c r="S17"/>
  <c r="I20" i="72"/>
  <c r="BB5" i="3"/>
  <c r="E5" i="6" s="1"/>
  <c r="D12" i="11" s="1"/>
  <c r="C12" s="1"/>
  <c r="BA5" i="3"/>
  <c r="E69" i="46"/>
  <c r="B67" s="1"/>
  <c r="C24" s="1"/>
  <c r="H9" i="68"/>
  <c r="C9" s="1"/>
  <c r="F21" i="6"/>
  <c r="E21" s="1"/>
  <c r="C10" i="12"/>
  <c r="C6" s="1"/>
  <c r="C24" s="1"/>
  <c r="E20" i="6"/>
  <c r="W10" i="21"/>
  <c r="U9"/>
  <c r="AA9"/>
  <c r="AB10"/>
  <c r="W8"/>
  <c r="AP8" i="1"/>
  <c r="G8"/>
  <c r="G7"/>
  <c r="AP7"/>
  <c r="C42"/>
  <c r="G19" i="72"/>
  <c r="G19" i="71"/>
  <c r="D96" i="9"/>
  <c r="B41" i="1"/>
  <c r="F72" i="9" s="1"/>
  <c r="G21" i="43"/>
  <c r="G27" i="12"/>
  <c r="G28" i="70"/>
  <c r="G26"/>
  <c r="G26" i="69"/>
  <c r="G27" i="70"/>
  <c r="G27" i="69"/>
  <c r="G28"/>
  <c r="C2" i="65"/>
  <c r="K1" i="69"/>
  <c r="K1" i="70"/>
  <c r="I4" i="6"/>
  <c r="F30"/>
  <c r="E20" i="72"/>
  <c r="E20" i="71"/>
  <c r="N16" i="4"/>
  <c r="K17" s="1"/>
  <c r="D70" i="39"/>
  <c r="C72"/>
  <c r="C67" i="40"/>
  <c r="G17" i="46"/>
  <c r="C16" s="1"/>
  <c r="BL13" i="3"/>
  <c r="BL5" s="1"/>
  <c r="L19" i="6"/>
  <c r="L27" s="1"/>
  <c r="C15" i="43"/>
  <c r="H12" i="48"/>
  <c r="G6" i="1"/>
  <c r="I20" i="46"/>
  <c r="I46" i="36"/>
  <c r="J46" s="1"/>
  <c r="K46" s="1"/>
  <c r="L46" s="1"/>
  <c r="M46" s="1"/>
  <c r="N46" s="1"/>
  <c r="O46" s="1"/>
  <c r="L52" i="37"/>
  <c r="M52" s="1"/>
  <c r="N52" s="1"/>
  <c r="O52" s="1"/>
  <c r="D58" i="21"/>
  <c r="D59" i="34"/>
  <c r="A25" i="51"/>
  <c r="B18" i="63" s="1"/>
  <c r="C95" i="9"/>
  <c r="C92" s="1"/>
  <c r="H71" i="46"/>
  <c r="G71" s="1"/>
  <c r="H75"/>
  <c r="G75" s="1"/>
  <c r="H72"/>
  <c r="G72" s="1"/>
  <c r="H77"/>
  <c r="G77" s="1"/>
  <c r="H70"/>
  <c r="G70" s="1"/>
  <c r="H73"/>
  <c r="G73" s="1"/>
  <c r="H74"/>
  <c r="G74" s="1"/>
  <c r="H69"/>
  <c r="G69" s="1"/>
  <c r="H76"/>
  <c r="G76" s="1"/>
  <c r="F28" i="15"/>
  <c r="C28" s="1"/>
  <c r="F30" i="44"/>
  <c r="C30" s="1"/>
  <c r="M20"/>
  <c r="F70" i="9"/>
  <c r="F32" i="15"/>
  <c r="F59" s="1"/>
  <c r="F66" i="9"/>
  <c r="P72" s="1"/>
  <c r="O9" i="1"/>
  <c r="P9" s="1"/>
  <c r="O6"/>
  <c r="E10" i="6"/>
  <c r="C5" i="46"/>
  <c r="C18" i="11"/>
  <c r="K77" i="9"/>
  <c r="K79" s="1"/>
  <c r="K81" s="1"/>
  <c r="E12" i="52"/>
  <c r="B15"/>
  <c r="E10" i="59"/>
  <c r="B10"/>
  <c r="B4" i="52"/>
  <c r="B7"/>
  <c r="E14"/>
  <c r="E6"/>
  <c r="E11"/>
  <c r="E9"/>
  <c r="E7"/>
  <c r="B9"/>
  <c r="E4"/>
  <c r="E13"/>
  <c r="B8"/>
  <c r="E10"/>
  <c r="B10"/>
  <c r="B6"/>
  <c r="B5"/>
  <c r="B11"/>
  <c r="B12"/>
  <c r="E8"/>
  <c r="B14"/>
  <c r="E5"/>
  <c r="Y3" i="59"/>
  <c r="Z3" s="1"/>
  <c r="P22" i="46"/>
  <c r="P24"/>
  <c r="B68" i="40" s="1"/>
  <c r="P23" i="46"/>
  <c r="P25"/>
  <c r="B73" i="39" s="1"/>
  <c r="P21" i="46"/>
  <c r="E20"/>
  <c r="Q73" i="44"/>
  <c r="C29"/>
  <c r="J1" i="65"/>
  <c r="F67" i="15"/>
  <c r="I1" i="65"/>
  <c r="M9" i="44"/>
  <c r="J8" s="1"/>
  <c r="L60"/>
  <c r="L59"/>
  <c r="I55"/>
  <c r="J54"/>
  <c r="L57"/>
  <c r="J58"/>
  <c r="J56" s="1"/>
  <c r="J59" s="1"/>
  <c r="Q52" s="1"/>
  <c r="J60"/>
  <c r="J61"/>
  <c r="Q50" s="1"/>
  <c r="C4" i="65"/>
  <c r="B39" i="1" s="1"/>
  <c r="I7" i="65"/>
  <c r="F36" i="15"/>
  <c r="F33" i="12"/>
  <c r="L47" i="15"/>
  <c r="D21" i="12"/>
  <c r="M6" i="15"/>
  <c r="M22"/>
  <c r="I3" i="65"/>
  <c r="L48" i="15"/>
  <c r="D21" i="69"/>
  <c r="J4" i="65"/>
  <c r="M9" i="15"/>
  <c r="F40" i="44"/>
  <c r="M24"/>
  <c r="F8"/>
  <c r="M27" i="15"/>
  <c r="J36"/>
  <c r="M26"/>
  <c r="M28"/>
  <c r="M23"/>
  <c r="J15"/>
  <c r="F38"/>
  <c r="F42"/>
  <c r="C18" i="44"/>
  <c r="F16" i="15"/>
  <c r="J7" i="65"/>
  <c r="F9" i="15"/>
  <c r="F8"/>
  <c r="D21" i="70"/>
  <c r="F37" i="15"/>
  <c r="E2" i="65"/>
  <c r="F46" i="44"/>
  <c r="F26" i="15"/>
  <c r="M8"/>
  <c r="E3" i="65"/>
  <c r="S19" i="34" l="1"/>
  <c r="F7" i="36"/>
  <c r="H7"/>
  <c r="AA32" i="40"/>
  <c r="S32"/>
  <c r="AC32"/>
  <c r="W32"/>
  <c r="U17" i="34"/>
  <c r="F50" i="15"/>
  <c r="F65"/>
  <c r="F33" i="44"/>
  <c r="C8"/>
  <c r="F63" i="15"/>
  <c r="Q72"/>
  <c r="L59"/>
  <c r="Q62" s="1"/>
  <c r="L58"/>
  <c r="Q74" s="1"/>
  <c r="C27"/>
  <c r="F64"/>
  <c r="J57"/>
  <c r="J55" s="1"/>
  <c r="J58" s="1"/>
  <c r="Q51" s="1"/>
  <c r="J53"/>
  <c r="F1" s="1"/>
  <c r="I54"/>
  <c r="L56"/>
  <c r="E28" i="6"/>
  <c r="K14" i="1" s="1"/>
  <c r="M14" s="1"/>
  <c r="O14" s="1"/>
  <c r="P14" s="1"/>
  <c r="G30" i="6"/>
  <c r="G31" s="1"/>
  <c r="AA32" i="33"/>
  <c r="S32"/>
  <c r="T46" i="59"/>
  <c r="D46"/>
  <c r="C58"/>
  <c r="D57"/>
  <c r="AZ433" i="3"/>
  <c r="E9" i="59"/>
  <c r="E8" s="1"/>
  <c r="E7" s="1"/>
  <c r="E6" s="1"/>
  <c r="U10"/>
  <c r="AZ13" i="3"/>
  <c r="AZ56"/>
  <c r="AZ136"/>
  <c r="AZ318"/>
  <c r="AZ451"/>
  <c r="AC47" i="34"/>
  <c r="W47"/>
  <c r="AZ47" i="3"/>
  <c r="V18" i="59"/>
  <c r="F17"/>
  <c r="F16" s="1"/>
  <c r="F15" s="1"/>
  <c r="F14" s="1"/>
  <c r="AZ156" i="3"/>
  <c r="AZ90"/>
  <c r="AZ246"/>
  <c r="G101" i="33"/>
  <c r="J32"/>
  <c r="C16" i="71"/>
  <c r="B32" i="1"/>
  <c r="B9" i="59"/>
  <c r="B8" s="1"/>
  <c r="B7" s="1"/>
  <c r="B6" s="1"/>
  <c r="S10"/>
  <c r="C34"/>
  <c r="D33"/>
  <c r="W25" i="37"/>
  <c r="AC25"/>
  <c r="E8" i="6"/>
  <c r="E53" i="40" s="1"/>
  <c r="AA19" i="33"/>
  <c r="S22" i="59"/>
  <c r="B21"/>
  <c r="B20" s="1"/>
  <c r="AZ423" i="3"/>
  <c r="AZ413"/>
  <c r="AB28" i="34"/>
  <c r="U28"/>
  <c r="S25" i="37"/>
  <c r="AA25"/>
  <c r="E11" i="6"/>
  <c r="E58" i="40" s="1"/>
  <c r="J7" i="36"/>
  <c r="E15" i="6"/>
  <c r="AB42" i="33"/>
  <c r="S23"/>
  <c r="D22" i="59"/>
  <c r="T22"/>
  <c r="C21"/>
  <c r="AZ111" i="3"/>
  <c r="AZ83"/>
  <c r="C26" i="59"/>
  <c r="D25"/>
  <c r="AZ120" i="3"/>
  <c r="AZ221"/>
  <c r="AZ235"/>
  <c r="U25" i="37"/>
  <c r="AB25"/>
  <c r="F60" i="59"/>
  <c r="Q61"/>
  <c r="E12" i="6"/>
  <c r="AB27" i="33"/>
  <c r="AZ78" i="3"/>
  <c r="AZ128"/>
  <c r="AZ399"/>
  <c r="U12" i="35"/>
  <c r="AB12"/>
  <c r="W12"/>
  <c r="AC12"/>
  <c r="E14" i="6"/>
  <c r="E66" i="39" s="1"/>
  <c r="E21" i="59"/>
  <c r="E20" s="1"/>
  <c r="U22"/>
  <c r="U34"/>
  <c r="M19" i="46"/>
  <c r="AB23" i="33"/>
  <c r="C30" i="59"/>
  <c r="D29"/>
  <c r="D37"/>
  <c r="C38"/>
  <c r="P59"/>
  <c r="P60"/>
  <c r="AZ62" i="3"/>
  <c r="AZ133"/>
  <c r="AZ412"/>
  <c r="AZ395"/>
  <c r="AA45" i="21"/>
  <c r="S45"/>
  <c r="U34" i="36"/>
  <c r="AB34"/>
  <c r="E13" i="6"/>
  <c r="U25" i="33"/>
  <c r="AZ110" i="3"/>
  <c r="D53" i="59"/>
  <c r="C54"/>
  <c r="U45" i="21"/>
  <c r="AB45"/>
  <c r="AC34" i="36"/>
  <c r="W34"/>
  <c r="G5" i="3"/>
  <c r="B3" s="1"/>
  <c r="E36" s="1"/>
  <c r="AC9" i="21"/>
  <c r="W9"/>
  <c r="M83" i="9"/>
  <c r="N83" s="1"/>
  <c r="N89" s="1"/>
  <c r="O89" s="1"/>
  <c r="M84"/>
  <c r="N84" s="1"/>
  <c r="M86"/>
  <c r="N86" s="1"/>
  <c r="M87"/>
  <c r="N87" s="1"/>
  <c r="M88"/>
  <c r="N88" s="1"/>
  <c r="M85"/>
  <c r="N85" s="1"/>
  <c r="AZ105" i="3"/>
  <c r="AZ101"/>
  <c r="AZ69"/>
  <c r="AZ240"/>
  <c r="AZ400"/>
  <c r="D5" i="72"/>
  <c r="C5"/>
  <c r="D4" i="68"/>
  <c r="AZ38" i="3"/>
  <c r="AA25" i="35"/>
  <c r="S25"/>
  <c r="C12" i="59"/>
  <c r="D13"/>
  <c r="F7" i="35"/>
  <c r="AA7" s="1"/>
  <c r="R38" s="1"/>
  <c r="F28" i="77"/>
  <c r="C28" s="1"/>
  <c r="M18"/>
  <c r="F32"/>
  <c r="F59" s="1"/>
  <c r="AA25" i="34"/>
  <c r="E30" i="6"/>
  <c r="AB19" i="34"/>
  <c r="U19"/>
  <c r="AC19"/>
  <c r="W19"/>
  <c r="AC37"/>
  <c r="W37"/>
  <c r="AA37"/>
  <c r="S37"/>
  <c r="AB37"/>
  <c r="U37"/>
  <c r="H101" i="33"/>
  <c r="I101" s="1"/>
  <c r="J101" s="1"/>
  <c r="K101" s="1"/>
  <c r="L101" s="1"/>
  <c r="M101" s="1"/>
  <c r="H32"/>
  <c r="G111"/>
  <c r="J36" s="1"/>
  <c r="AC15"/>
  <c r="AA25"/>
  <c r="J25"/>
  <c r="H87"/>
  <c r="I87" s="1"/>
  <c r="J87" s="1"/>
  <c r="K87" s="1"/>
  <c r="L87" s="1"/>
  <c r="M87" s="1"/>
  <c r="S42"/>
  <c r="U15"/>
  <c r="AB15"/>
  <c r="AA15"/>
  <c r="S15"/>
  <c r="W19"/>
  <c r="AC19"/>
  <c r="U19"/>
  <c r="AB19"/>
  <c r="M11" i="77"/>
  <c r="J10" s="1"/>
  <c r="F11"/>
  <c r="M76" i="46"/>
  <c r="N76" s="1"/>
  <c r="K76"/>
  <c r="J76" s="1"/>
  <c r="M70"/>
  <c r="N70" s="1"/>
  <c r="K70"/>
  <c r="J70" s="1"/>
  <c r="K72"/>
  <c r="J72" s="1"/>
  <c r="M72"/>
  <c r="N72" s="1"/>
  <c r="M71"/>
  <c r="N71" s="1"/>
  <c r="K71"/>
  <c r="J71" s="1"/>
  <c r="K69"/>
  <c r="J69" s="1"/>
  <c r="M69"/>
  <c r="N69" s="1"/>
  <c r="M73"/>
  <c r="N73" s="1"/>
  <c r="K73"/>
  <c r="J73" s="1"/>
  <c r="K77"/>
  <c r="J77" s="1"/>
  <c r="M77"/>
  <c r="N77" s="1"/>
  <c r="M75"/>
  <c r="N75" s="1"/>
  <c r="K75"/>
  <c r="J75" s="1"/>
  <c r="M74"/>
  <c r="N74" s="1"/>
  <c r="K74"/>
  <c r="J74" s="1"/>
  <c r="K8" i="1"/>
  <c r="C9" i="69"/>
  <c r="C9" i="70"/>
  <c r="C33" i="33" s="1"/>
  <c r="K7" i="1"/>
  <c r="C4" i="73"/>
  <c r="H12" i="68"/>
  <c r="H7" i="35"/>
  <c r="AB7" s="1"/>
  <c r="T38" s="1"/>
  <c r="G38" s="1"/>
  <c r="C21" i="69"/>
  <c r="C21" i="70"/>
  <c r="C21" i="12"/>
  <c r="C34"/>
  <c r="D33" s="1"/>
  <c r="J7" i="35"/>
  <c r="P24" i="72"/>
  <c r="P25"/>
  <c r="P21"/>
  <c r="O19"/>
  <c r="F4" i="68" s="1"/>
  <c r="P23" i="72"/>
  <c r="P22"/>
  <c r="P22" i="71"/>
  <c r="P23"/>
  <c r="P25"/>
  <c r="P24"/>
  <c r="P21"/>
  <c r="O19"/>
  <c r="F3" i="68" s="1"/>
  <c r="D5" i="46"/>
  <c r="F34" i="44"/>
  <c r="C34" s="1"/>
  <c r="F29" i="69"/>
  <c r="F29" i="70"/>
  <c r="F27" i="43"/>
  <c r="C27" s="1"/>
  <c r="D86" i="9"/>
  <c r="F71"/>
  <c r="F29" i="12"/>
  <c r="C29" s="1"/>
  <c r="F31" i="43"/>
  <c r="C31" s="1"/>
  <c r="M18" i="15"/>
  <c r="E58" i="39"/>
  <c r="F27" i="6"/>
  <c r="P28" i="72"/>
  <c r="N28"/>
  <c r="G20" s="1"/>
  <c r="O28"/>
  <c r="M28"/>
  <c r="O28" i="71"/>
  <c r="M28"/>
  <c r="G20" s="1"/>
  <c r="P28"/>
  <c r="N28"/>
  <c r="F7" i="37"/>
  <c r="AA7" s="1"/>
  <c r="R42" s="1"/>
  <c r="D67" i="40"/>
  <c r="E65"/>
  <c r="E70" i="39"/>
  <c r="D72"/>
  <c r="E16" i="6"/>
  <c r="E67" i="39"/>
  <c r="E62" i="40"/>
  <c r="E63" i="39"/>
  <c r="E59" i="40"/>
  <c r="E64" i="39"/>
  <c r="J7" i="37"/>
  <c r="W7" s="1"/>
  <c r="H7"/>
  <c r="AB7" s="1"/>
  <c r="T42" s="1"/>
  <c r="G42" s="1"/>
  <c r="AB7" i="36"/>
  <c r="T36" s="1"/>
  <c r="G36" s="1"/>
  <c r="U7"/>
  <c r="S7"/>
  <c r="AA7"/>
  <c r="R36" s="1"/>
  <c r="AC7" i="35"/>
  <c r="V38" s="1"/>
  <c r="I38" s="1"/>
  <c r="W7"/>
  <c r="E59" i="34"/>
  <c r="E58" i="21"/>
  <c r="E58" i="33"/>
  <c r="W7" i="36"/>
  <c r="AC7"/>
  <c r="V36" s="1"/>
  <c r="I36" s="1"/>
  <c r="E60" i="40"/>
  <c r="E65" i="39"/>
  <c r="P6" i="1"/>
  <c r="M19" i="44"/>
  <c r="C19" i="46"/>
  <c r="B40" i="1"/>
  <c r="F24" i="77" s="1"/>
  <c r="F17" i="11"/>
  <c r="C17" s="1"/>
  <c r="C19" s="1"/>
  <c r="L47" i="44"/>
  <c r="M13"/>
  <c r="J12" s="1"/>
  <c r="J7" s="1"/>
  <c r="F11" i="15"/>
  <c r="M11"/>
  <c r="J10" s="1"/>
  <c r="F13" i="44"/>
  <c r="C12" s="1"/>
  <c r="Q75"/>
  <c r="Q62"/>
  <c r="M28" i="46"/>
  <c r="P28"/>
  <c r="O28"/>
  <c r="G20" s="1"/>
  <c r="N28"/>
  <c r="F1" i="44"/>
  <c r="Q54"/>
  <c r="J20"/>
  <c r="Q63"/>
  <c r="Q76"/>
  <c r="M24" i="77"/>
  <c r="M26"/>
  <c r="F40"/>
  <c r="F36"/>
  <c r="F13"/>
  <c r="F16"/>
  <c r="F7"/>
  <c r="L47"/>
  <c r="J15"/>
  <c r="J36"/>
  <c r="F33" i="69"/>
  <c r="F38" i="77"/>
  <c r="M28"/>
  <c r="F8"/>
  <c r="M22"/>
  <c r="F43"/>
  <c r="F33" i="70"/>
  <c r="M8" i="77"/>
  <c r="AE7" i="1"/>
  <c r="L48" i="77"/>
  <c r="M27"/>
  <c r="M29"/>
  <c r="M9"/>
  <c r="F7" i="15"/>
  <c r="F42" i="77"/>
  <c r="F26"/>
  <c r="F9"/>
  <c r="M29" i="15"/>
  <c r="F43"/>
  <c r="F37" i="77"/>
  <c r="M6"/>
  <c r="M23"/>
  <c r="E118" i="3" l="1"/>
  <c r="E55"/>
  <c r="E81"/>
  <c r="E347"/>
  <c r="E388"/>
  <c r="E345"/>
  <c r="E450"/>
  <c r="E177"/>
  <c r="E212"/>
  <c r="E231"/>
  <c r="E465"/>
  <c r="Q61" i="15"/>
  <c r="Q75"/>
  <c r="C7" i="44"/>
  <c r="C40" s="1"/>
  <c r="F64" i="77"/>
  <c r="L59"/>
  <c r="L58"/>
  <c r="F65"/>
  <c r="F50"/>
  <c r="F67"/>
  <c r="Q72"/>
  <c r="L56"/>
  <c r="J57"/>
  <c r="J55" s="1"/>
  <c r="J58" s="1"/>
  <c r="Q51" s="1"/>
  <c r="I54"/>
  <c r="J53"/>
  <c r="F63"/>
  <c r="C27"/>
  <c r="U7" i="35"/>
  <c r="E563" i="3"/>
  <c r="T54" i="59"/>
  <c r="D54"/>
  <c r="E46" i="3"/>
  <c r="E282"/>
  <c r="T26" i="59"/>
  <c r="D26"/>
  <c r="D21"/>
  <c r="C20"/>
  <c r="D20" s="1"/>
  <c r="F13"/>
  <c r="F12" s="1"/>
  <c r="F11" s="1"/>
  <c r="F10" s="1"/>
  <c r="V14"/>
  <c r="E255" i="3"/>
  <c r="Q60" i="59"/>
  <c r="Q59"/>
  <c r="M19" i="71"/>
  <c r="T34" i="59"/>
  <c r="D34"/>
  <c r="M19" i="72" s="1"/>
  <c r="C11" i="59"/>
  <c r="D12"/>
  <c r="E239" i="3"/>
  <c r="E214"/>
  <c r="AZ5"/>
  <c r="Q53" i="15"/>
  <c r="E280" i="3"/>
  <c r="E428"/>
  <c r="E478"/>
  <c r="E383"/>
  <c r="E233"/>
  <c r="E172"/>
  <c r="E145"/>
  <c r="E309"/>
  <c r="E105"/>
  <c r="E121"/>
  <c r="E419"/>
  <c r="E66"/>
  <c r="E271"/>
  <c r="E180"/>
  <c r="E108"/>
  <c r="E16"/>
  <c r="E524"/>
  <c r="E498"/>
  <c r="E35"/>
  <c r="E315"/>
  <c r="E312"/>
  <c r="E501"/>
  <c r="E371"/>
  <c r="E487"/>
  <c r="E26"/>
  <c r="E511"/>
  <c r="E18"/>
  <c r="E20"/>
  <c r="AO6"/>
  <c r="E206"/>
  <c r="E91"/>
  <c r="E195"/>
  <c r="E127"/>
  <c r="I6"/>
  <c r="E454"/>
  <c r="E288"/>
  <c r="E300"/>
  <c r="E59"/>
  <c r="E165"/>
  <c r="E80"/>
  <c r="E550"/>
  <c r="E275"/>
  <c r="E116"/>
  <c r="E154"/>
  <c r="Y6"/>
  <c r="E65"/>
  <c r="E198"/>
  <c r="AF6"/>
  <c r="E362"/>
  <c r="E228"/>
  <c r="E502"/>
  <c r="E325"/>
  <c r="E183"/>
  <c r="E392"/>
  <c r="E284"/>
  <c r="T6"/>
  <c r="E269"/>
  <c r="E506"/>
  <c r="E518"/>
  <c r="E566"/>
  <c r="E494"/>
  <c r="E341"/>
  <c r="E175"/>
  <c r="E380"/>
  <c r="E476"/>
  <c r="E348"/>
  <c r="E375"/>
  <c r="E124"/>
  <c r="E430"/>
  <c r="E434"/>
  <c r="E270"/>
  <c r="E100"/>
  <c r="E317"/>
  <c r="E247"/>
  <c r="E261"/>
  <c r="E480"/>
  <c r="E517"/>
  <c r="E58"/>
  <c r="E162"/>
  <c r="E61"/>
  <c r="E120"/>
  <c r="E355"/>
  <c r="E538"/>
  <c r="E173"/>
  <c r="E432"/>
  <c r="E30"/>
  <c r="E141"/>
  <c r="E189"/>
  <c r="L6"/>
  <c r="E372"/>
  <c r="E243"/>
  <c r="AR6"/>
  <c r="E51"/>
  <c r="E290"/>
  <c r="E331"/>
  <c r="E559"/>
  <c r="E314"/>
  <c r="E334"/>
  <c r="E286"/>
  <c r="E216"/>
  <c r="E45"/>
  <c r="E360"/>
  <c r="E181"/>
  <c r="E219"/>
  <c r="E562"/>
  <c r="E497"/>
  <c r="E515"/>
  <c r="E273"/>
  <c r="E254"/>
  <c r="E268"/>
  <c r="E318"/>
  <c r="E503"/>
  <c r="E192"/>
  <c r="E93"/>
  <c r="E409"/>
  <c r="E222"/>
  <c r="E146"/>
  <c r="E552"/>
  <c r="AN6"/>
  <c r="E441"/>
  <c r="E407"/>
  <c r="E467"/>
  <c r="E543"/>
  <c r="E416"/>
  <c r="E160"/>
  <c r="E128"/>
  <c r="E491"/>
  <c r="E456"/>
  <c r="E260"/>
  <c r="E153"/>
  <c r="E531"/>
  <c r="E344"/>
  <c r="E342"/>
  <c r="E350"/>
  <c r="E352"/>
  <c r="E71"/>
  <c r="E544"/>
  <c r="E13"/>
  <c r="E115"/>
  <c r="E424"/>
  <c r="E508"/>
  <c r="E366"/>
  <c r="E358"/>
  <c r="E157"/>
  <c r="E505"/>
  <c r="E210"/>
  <c r="E484"/>
  <c r="E22"/>
  <c r="E464"/>
  <c r="E533"/>
  <c r="E402"/>
  <c r="E264"/>
  <c r="E448"/>
  <c r="E134"/>
  <c r="E302"/>
  <c r="E29"/>
  <c r="E353"/>
  <c r="E171"/>
  <c r="E361"/>
  <c r="E323"/>
  <c r="AB6"/>
  <c r="E446"/>
  <c r="E83"/>
  <c r="E103"/>
  <c r="E385"/>
  <c r="E161"/>
  <c r="E560"/>
  <c r="E107"/>
  <c r="E220"/>
  <c r="E453"/>
  <c r="E285"/>
  <c r="E433"/>
  <c r="E555"/>
  <c r="E499"/>
  <c r="E217"/>
  <c r="E320"/>
  <c r="E251"/>
  <c r="E122"/>
  <c r="E163"/>
  <c r="E532"/>
  <c r="E521"/>
  <c r="E406"/>
  <c r="E155"/>
  <c r="E541"/>
  <c r="E86"/>
  <c r="E132"/>
  <c r="E359"/>
  <c r="E186"/>
  <c r="E548"/>
  <c r="AK6"/>
  <c r="E415"/>
  <c r="E67"/>
  <c r="E370"/>
  <c r="E477"/>
  <c r="E242"/>
  <c r="E87"/>
  <c r="E176"/>
  <c r="E569"/>
  <c r="E307"/>
  <c r="E182"/>
  <c r="E512"/>
  <c r="E567"/>
  <c r="E461"/>
  <c r="E509"/>
  <c r="E37"/>
  <c r="E525"/>
  <c r="E485"/>
  <c r="E17"/>
  <c r="M6"/>
  <c r="E152"/>
  <c r="E570"/>
  <c r="AD6"/>
  <c r="E200"/>
  <c r="E57"/>
  <c r="E28"/>
  <c r="E420"/>
  <c r="E369"/>
  <c r="E96"/>
  <c r="E224"/>
  <c r="E234"/>
  <c r="E188"/>
  <c r="E319"/>
  <c r="E546"/>
  <c r="E339"/>
  <c r="E144"/>
  <c r="E364"/>
  <c r="E522"/>
  <c r="E553"/>
  <c r="E488"/>
  <c r="E240"/>
  <c r="E565"/>
  <c r="E68"/>
  <c r="E439"/>
  <c r="E457"/>
  <c r="E311"/>
  <c r="E164"/>
  <c r="E143"/>
  <c r="E299"/>
  <c r="E437"/>
  <c r="E62"/>
  <c r="E404"/>
  <c r="E526"/>
  <c r="E554"/>
  <c r="E483"/>
  <c r="E557"/>
  <c r="E459"/>
  <c r="E99"/>
  <c r="E367"/>
  <c r="E24"/>
  <c r="E169"/>
  <c r="E542"/>
  <c r="E413"/>
  <c r="E131"/>
  <c r="E357"/>
  <c r="E507"/>
  <c r="E336"/>
  <c r="E74"/>
  <c r="E281"/>
  <c r="E386"/>
  <c r="E150"/>
  <c r="E493"/>
  <c r="E396"/>
  <c r="E474"/>
  <c r="E354"/>
  <c r="E335"/>
  <c r="E330"/>
  <c r="E516"/>
  <c r="E138"/>
  <c r="E252"/>
  <c r="E326"/>
  <c r="E475"/>
  <c r="E333"/>
  <c r="E528"/>
  <c r="E266"/>
  <c r="Z6"/>
  <c r="E237"/>
  <c r="E179"/>
  <c r="E111"/>
  <c r="E393"/>
  <c r="AQ6"/>
  <c r="E235"/>
  <c r="E529"/>
  <c r="E379"/>
  <c r="E558"/>
  <c r="E436"/>
  <c r="E95"/>
  <c r="E298"/>
  <c r="E495"/>
  <c r="E159"/>
  <c r="E384"/>
  <c r="E496"/>
  <c r="S6"/>
  <c r="E377"/>
  <c r="E523"/>
  <c r="E241"/>
  <c r="E394"/>
  <c r="E31"/>
  <c r="E77"/>
  <c r="E135"/>
  <c r="AS6"/>
  <c r="AG6"/>
  <c r="E551"/>
  <c r="E208"/>
  <c r="E301"/>
  <c r="E417"/>
  <c r="E368"/>
  <c r="E421"/>
  <c r="E440"/>
  <c r="E338"/>
  <c r="E304"/>
  <c r="E168"/>
  <c r="E303"/>
  <c r="E486"/>
  <c r="E308"/>
  <c r="E540"/>
  <c r="AI6"/>
  <c r="E458"/>
  <c r="E256"/>
  <c r="K6"/>
  <c r="E50"/>
  <c r="E90"/>
  <c r="E42"/>
  <c r="E226"/>
  <c r="E351"/>
  <c r="E167"/>
  <c r="E504"/>
  <c r="E244"/>
  <c r="E316"/>
  <c r="E356"/>
  <c r="E297"/>
  <c r="E133"/>
  <c r="E15"/>
  <c r="E130"/>
  <c r="E215"/>
  <c r="E190"/>
  <c r="E466"/>
  <c r="E324"/>
  <c r="AL6"/>
  <c r="E395"/>
  <c r="E76"/>
  <c r="E106"/>
  <c r="E328"/>
  <c r="E391"/>
  <c r="E279"/>
  <c r="E246"/>
  <c r="E101"/>
  <c r="E374"/>
  <c r="E34"/>
  <c r="E203"/>
  <c r="V6"/>
  <c r="E513"/>
  <c r="E123"/>
  <c r="E40"/>
  <c r="E306"/>
  <c r="E489"/>
  <c r="AJ6"/>
  <c r="E19"/>
  <c r="E56"/>
  <c r="E267"/>
  <c r="E514"/>
  <c r="E340"/>
  <c r="E329"/>
  <c r="E322"/>
  <c r="E346"/>
  <c r="E564"/>
  <c r="E114"/>
  <c r="X6"/>
  <c r="E389"/>
  <c r="E373"/>
  <c r="E227"/>
  <c r="E481"/>
  <c r="E69"/>
  <c r="E349"/>
  <c r="E327"/>
  <c r="E147"/>
  <c r="E520"/>
  <c r="E236"/>
  <c r="E310"/>
  <c r="E519"/>
  <c r="E429"/>
  <c r="E137"/>
  <c r="AA6"/>
  <c r="E444"/>
  <c r="E39"/>
  <c r="E88"/>
  <c r="E400"/>
  <c r="E197"/>
  <c r="E229"/>
  <c r="E191"/>
  <c r="E530"/>
  <c r="E403"/>
  <c r="E277"/>
  <c r="E14"/>
  <c r="E378"/>
  <c r="E571"/>
  <c r="E572"/>
  <c r="E112"/>
  <c r="E382"/>
  <c r="E117"/>
  <c r="E262"/>
  <c r="E321"/>
  <c r="E221"/>
  <c r="E230"/>
  <c r="E510"/>
  <c r="E82"/>
  <c r="E408"/>
  <c r="E201"/>
  <c r="E33"/>
  <c r="E289"/>
  <c r="E245"/>
  <c r="U6"/>
  <c r="E126"/>
  <c r="E265"/>
  <c r="E158"/>
  <c r="E537"/>
  <c r="E213"/>
  <c r="E462"/>
  <c r="E184"/>
  <c r="N6"/>
  <c r="E204"/>
  <c r="E431"/>
  <c r="E92"/>
  <c r="E460"/>
  <c r="E75"/>
  <c r="E363"/>
  <c r="E272"/>
  <c r="E258"/>
  <c r="E276"/>
  <c r="E381"/>
  <c r="E94"/>
  <c r="E21"/>
  <c r="E343"/>
  <c r="E468"/>
  <c r="E148"/>
  <c r="E469"/>
  <c r="E443"/>
  <c r="E225"/>
  <c r="E174"/>
  <c r="P6"/>
  <c r="E238"/>
  <c r="Q6"/>
  <c r="E136"/>
  <c r="E139"/>
  <c r="E291"/>
  <c r="E248"/>
  <c r="E194"/>
  <c r="E296"/>
  <c r="E199"/>
  <c r="E490"/>
  <c r="E110"/>
  <c r="E129"/>
  <c r="E398"/>
  <c r="E49"/>
  <c r="E534"/>
  <c r="E125"/>
  <c r="E84"/>
  <c r="E70"/>
  <c r="E313"/>
  <c r="W6"/>
  <c r="E561"/>
  <c r="E187"/>
  <c r="E218"/>
  <c r="E98"/>
  <c r="E535"/>
  <c r="E471"/>
  <c r="AE6"/>
  <c r="E332"/>
  <c r="E414"/>
  <c r="I3" i="6"/>
  <c r="E178" i="3"/>
  <c r="E113"/>
  <c r="E166"/>
  <c r="E207"/>
  <c r="E259"/>
  <c r="E89"/>
  <c r="E556"/>
  <c r="E442"/>
  <c r="E44"/>
  <c r="E274"/>
  <c r="E119"/>
  <c r="E568"/>
  <c r="E52"/>
  <c r="E211"/>
  <c r="AM6"/>
  <c r="E472"/>
  <c r="E54"/>
  <c r="E536"/>
  <c r="E47"/>
  <c r="E482"/>
  <c r="E232"/>
  <c r="E427"/>
  <c r="E376"/>
  <c r="E64"/>
  <c r="E142"/>
  <c r="E109"/>
  <c r="E27"/>
  <c r="E293"/>
  <c r="E78"/>
  <c r="E423"/>
  <c r="E63"/>
  <c r="E202"/>
  <c r="E463"/>
  <c r="J6"/>
  <c r="E79"/>
  <c r="E102"/>
  <c r="E479"/>
  <c r="E140"/>
  <c r="E549"/>
  <c r="E60"/>
  <c r="E257"/>
  <c r="E492"/>
  <c r="E32"/>
  <c r="E500"/>
  <c r="E85"/>
  <c r="E445"/>
  <c r="E527"/>
  <c r="E249"/>
  <c r="E426"/>
  <c r="E438"/>
  <c r="E25"/>
  <c r="E278"/>
  <c r="E294"/>
  <c r="E410"/>
  <c r="E412"/>
  <c r="E447"/>
  <c r="E365"/>
  <c r="E390"/>
  <c r="E435"/>
  <c r="E422"/>
  <c r="E411"/>
  <c r="E149"/>
  <c r="E292"/>
  <c r="E48"/>
  <c r="E425"/>
  <c r="O6"/>
  <c r="E449"/>
  <c r="E283"/>
  <c r="E193"/>
  <c r="E387"/>
  <c r="AH6"/>
  <c r="AP6"/>
  <c r="E38"/>
  <c r="E53"/>
  <c r="E418"/>
  <c r="E455"/>
  <c r="E196"/>
  <c r="E156"/>
  <c r="E104"/>
  <c r="R6"/>
  <c r="E151"/>
  <c r="E250"/>
  <c r="E295"/>
  <c r="E547"/>
  <c r="E97"/>
  <c r="E539"/>
  <c r="E451"/>
  <c r="E73"/>
  <c r="E23"/>
  <c r="E337"/>
  <c r="E253"/>
  <c r="E452"/>
  <c r="E397"/>
  <c r="E545"/>
  <c r="E473"/>
  <c r="E185"/>
  <c r="E41"/>
  <c r="E401"/>
  <c r="E43"/>
  <c r="E405"/>
  <c r="B5" i="59"/>
  <c r="S6"/>
  <c r="E170" i="3"/>
  <c r="E61" i="40"/>
  <c r="T38" i="59"/>
  <c r="D38"/>
  <c r="E19" i="70"/>
  <c r="E19" i="69"/>
  <c r="E19" i="12"/>
  <c r="B31" i="1"/>
  <c r="E5" i="59"/>
  <c r="U6"/>
  <c r="E305" i="3"/>
  <c r="E399"/>
  <c r="E263"/>
  <c r="D3" i="68"/>
  <c r="D5" i="71"/>
  <c r="C5"/>
  <c r="T30" i="59"/>
  <c r="D30"/>
  <c r="AC32" i="33"/>
  <c r="W32"/>
  <c r="E223" i="3"/>
  <c r="E209"/>
  <c r="S7" i="35"/>
  <c r="E72" i="3"/>
  <c r="E205"/>
  <c r="E287"/>
  <c r="E470"/>
  <c r="T58" i="59"/>
  <c r="D58"/>
  <c r="U7" i="37"/>
  <c r="S7"/>
  <c r="M7" i="15"/>
  <c r="F49"/>
  <c r="F70"/>
  <c r="M7" i="77"/>
  <c r="F49"/>
  <c r="F70"/>
  <c r="J33" i="33"/>
  <c r="F33"/>
  <c r="H33"/>
  <c r="M8" i="1"/>
  <c r="AB32" i="33"/>
  <c r="U32"/>
  <c r="H111"/>
  <c r="I111" s="1"/>
  <c r="J111" s="1"/>
  <c r="K111" s="1"/>
  <c r="L111" s="1"/>
  <c r="M111" s="1"/>
  <c r="H36"/>
  <c r="F36"/>
  <c r="W36"/>
  <c r="AC36"/>
  <c r="W25"/>
  <c r="AC25"/>
  <c r="O8" i="1"/>
  <c r="P8" s="1"/>
  <c r="C24" i="77"/>
  <c r="C52"/>
  <c r="C5" i="73"/>
  <c r="C9"/>
  <c r="C10" s="1"/>
  <c r="M7" i="1"/>
  <c r="Q16"/>
  <c r="F24" i="43" s="1"/>
  <c r="C26" s="1"/>
  <c r="D24" s="1"/>
  <c r="H16" i="1"/>
  <c r="K16"/>
  <c r="AP16"/>
  <c r="F22" i="11" s="1"/>
  <c r="G16" i="1"/>
  <c r="C34" i="69"/>
  <c r="D33" s="1"/>
  <c r="C34" i="70"/>
  <c r="D33" s="1"/>
  <c r="E41" i="72"/>
  <c r="C41" s="1"/>
  <c r="C39" s="1"/>
  <c r="C20"/>
  <c r="C36" s="1"/>
  <c r="E41" i="71"/>
  <c r="C41" s="1"/>
  <c r="C20"/>
  <c r="E27" i="6"/>
  <c r="F31"/>
  <c r="F26" i="69"/>
  <c r="C27" s="1"/>
  <c r="D26" s="1"/>
  <c r="C32" s="1"/>
  <c r="D30" s="1"/>
  <c r="F26" i="70"/>
  <c r="AC7" i="37"/>
  <c r="V42" s="1"/>
  <c r="I42" s="1"/>
  <c r="I46" s="1"/>
  <c r="J46" s="1"/>
  <c r="E72" i="39"/>
  <c r="F70"/>
  <c r="F65" i="40"/>
  <c r="E67"/>
  <c r="G42" i="35"/>
  <c r="H42" s="1"/>
  <c r="G43"/>
  <c r="H43" s="1"/>
  <c r="I40" i="36"/>
  <c r="J40" s="1"/>
  <c r="G46" i="37"/>
  <c r="H46" s="1"/>
  <c r="F59" i="34"/>
  <c r="I42" i="35"/>
  <c r="J42" s="1"/>
  <c r="R39"/>
  <c r="E38"/>
  <c r="I43" s="1"/>
  <c r="J43" s="1"/>
  <c r="R43" i="37"/>
  <c r="E42"/>
  <c r="G41" i="36"/>
  <c r="H41" s="1"/>
  <c r="G40"/>
  <c r="H40" s="1"/>
  <c r="F58" i="33"/>
  <c r="G58" s="1"/>
  <c r="H58" s="1"/>
  <c r="I58" s="1"/>
  <c r="J58" s="1"/>
  <c r="K58" s="1"/>
  <c r="L58" s="1"/>
  <c r="M58" s="1"/>
  <c r="N58" s="1"/>
  <c r="O58" s="1"/>
  <c r="F58" i="21"/>
  <c r="G58" s="1"/>
  <c r="H58" s="1"/>
  <c r="I58" s="1"/>
  <c r="J58" s="1"/>
  <c r="K58" s="1"/>
  <c r="L58" s="1"/>
  <c r="M58" s="1"/>
  <c r="N58" s="1"/>
  <c r="O58" s="1"/>
  <c r="H7"/>
  <c r="R37" i="36"/>
  <c r="E36"/>
  <c r="E41" i="46"/>
  <c r="C41" s="1"/>
  <c r="C38" s="1"/>
  <c r="C20"/>
  <c r="J28" i="44"/>
  <c r="J31" s="1"/>
  <c r="J26"/>
  <c r="C52" i="15"/>
  <c r="C20" i="11"/>
  <c r="C21" s="1"/>
  <c r="F21" i="43"/>
  <c r="C23" s="1"/>
  <c r="D21" s="1"/>
  <c r="F24" i="15"/>
  <c r="C24" s="1"/>
  <c r="F26" i="12"/>
  <c r="F26" i="44"/>
  <c r="C26" s="1"/>
  <c r="F41" i="15"/>
  <c r="C16"/>
  <c r="C15" i="12"/>
  <c r="C15" i="70"/>
  <c r="C16" i="77"/>
  <c r="C15" i="69"/>
  <c r="C38" i="71" l="1"/>
  <c r="E38" s="1"/>
  <c r="E3" i="6"/>
  <c r="AY6" i="3"/>
  <c r="F9" i="59"/>
  <c r="F8" s="1"/>
  <c r="F7" s="1"/>
  <c r="F6" s="1"/>
  <c r="V10"/>
  <c r="H6" i="3"/>
  <c r="E6" s="1"/>
  <c r="Q53" i="77"/>
  <c r="F1"/>
  <c r="AC6" i="3"/>
  <c r="C10" i="59"/>
  <c r="D11"/>
  <c r="T16" i="71"/>
  <c r="V16" s="1"/>
  <c r="Q74" i="77"/>
  <c r="Q61"/>
  <c r="Q75"/>
  <c r="Q62"/>
  <c r="AB33" i="33"/>
  <c r="U33"/>
  <c r="AC33"/>
  <c r="W33"/>
  <c r="J6" i="77"/>
  <c r="M17"/>
  <c r="C48" i="15"/>
  <c r="C47" s="1"/>
  <c r="C59" s="1"/>
  <c r="F58"/>
  <c r="AA33" i="33"/>
  <c r="S33"/>
  <c r="J34" i="34"/>
  <c r="F34"/>
  <c r="H34"/>
  <c r="C48" i="77"/>
  <c r="C47" s="1"/>
  <c r="F58"/>
  <c r="M17" i="15"/>
  <c r="J6"/>
  <c r="AB36" i="33"/>
  <c r="U36"/>
  <c r="S36"/>
  <c r="AA36"/>
  <c r="C38" i="72"/>
  <c r="E38" s="1"/>
  <c r="F68" i="15"/>
  <c r="C22" i="11"/>
  <c r="C23" s="1"/>
  <c r="B2" s="1"/>
  <c r="O7" i="1"/>
  <c r="M16"/>
  <c r="H12" i="39"/>
  <c r="J12" i="40"/>
  <c r="H12"/>
  <c r="F12" i="39"/>
  <c r="F12" i="40"/>
  <c r="J12" i="39"/>
  <c r="J7" i="21"/>
  <c r="W7" s="1"/>
  <c r="J7" i="33"/>
  <c r="AC7" s="1"/>
  <c r="V48" s="1"/>
  <c r="I48" s="1"/>
  <c r="G47" i="37"/>
  <c r="H47" s="1"/>
  <c r="T13" i="72"/>
  <c r="V13" s="1"/>
  <c r="T13" i="71"/>
  <c r="V13" s="1"/>
  <c r="G3" i="68"/>
  <c r="C34" i="72"/>
  <c r="E34" s="1"/>
  <c r="G4" i="68"/>
  <c r="T12" i="72"/>
  <c r="V12" s="1"/>
  <c r="C33"/>
  <c r="E33" s="1"/>
  <c r="T10"/>
  <c r="V10" s="1"/>
  <c r="C35" i="46"/>
  <c r="G35" s="1"/>
  <c r="I35" s="1"/>
  <c r="C33" i="71"/>
  <c r="G33" s="1"/>
  <c r="I33" s="1"/>
  <c r="T12"/>
  <c r="V12" s="1"/>
  <c r="T9"/>
  <c r="V9" s="1"/>
  <c r="T8" i="72"/>
  <c r="V8" s="1"/>
  <c r="C37"/>
  <c r="E37" s="1"/>
  <c r="T14"/>
  <c r="V14" s="1"/>
  <c r="C37" i="46"/>
  <c r="G37" s="1"/>
  <c r="I37" s="1"/>
  <c r="T16"/>
  <c r="V16" s="1"/>
  <c r="C34" i="71"/>
  <c r="G34" s="1"/>
  <c r="I34" s="1"/>
  <c r="C37"/>
  <c r="E37" s="1"/>
  <c r="T15"/>
  <c r="V15" s="1"/>
  <c r="T11" i="72"/>
  <c r="V11" s="1"/>
  <c r="T15"/>
  <c r="V15" s="1"/>
  <c r="C35"/>
  <c r="E35" s="1"/>
  <c r="T9"/>
  <c r="V9" s="1"/>
  <c r="T16"/>
  <c r="V16" s="1"/>
  <c r="C39" i="46"/>
  <c r="E39" s="1"/>
  <c r="C36" i="71"/>
  <c r="E36" s="1"/>
  <c r="C35"/>
  <c r="E35" s="1"/>
  <c r="T11"/>
  <c r="V11" s="1"/>
  <c r="T8"/>
  <c r="V8" s="1"/>
  <c r="T14"/>
  <c r="V14" s="1"/>
  <c r="T10"/>
  <c r="V10" s="1"/>
  <c r="C36" i="46"/>
  <c r="G36" s="1"/>
  <c r="I36" s="1"/>
  <c r="T12"/>
  <c r="V12" s="1"/>
  <c r="T15"/>
  <c r="V15" s="1"/>
  <c r="T11"/>
  <c r="V11" s="1"/>
  <c r="T13"/>
  <c r="V13" s="1"/>
  <c r="T9"/>
  <c r="V9" s="1"/>
  <c r="T8"/>
  <c r="V8" s="1"/>
  <c r="C39" i="71"/>
  <c r="G39" s="1"/>
  <c r="I39" s="1"/>
  <c r="E39" i="72"/>
  <c r="G39"/>
  <c r="I39" s="1"/>
  <c r="G36"/>
  <c r="I36" s="1"/>
  <c r="E36"/>
  <c r="C34" i="46"/>
  <c r="E34" s="1"/>
  <c r="K24" i="6"/>
  <c r="M24" s="1"/>
  <c r="I24" s="1"/>
  <c r="S24" s="1"/>
  <c r="K21"/>
  <c r="K26"/>
  <c r="M26" s="1"/>
  <c r="I26" s="1"/>
  <c r="S26" s="1"/>
  <c r="K25"/>
  <c r="M25" s="1"/>
  <c r="I25" s="1"/>
  <c r="S25" s="1"/>
  <c r="K20"/>
  <c r="E31"/>
  <c r="K23"/>
  <c r="M23" s="1"/>
  <c r="I23" s="1"/>
  <c r="S23" s="1"/>
  <c r="K22"/>
  <c r="M22" s="1"/>
  <c r="I22" s="1"/>
  <c r="S22" s="1"/>
  <c r="K19"/>
  <c r="C27" i="70"/>
  <c r="D26" s="1"/>
  <c r="C32" s="1"/>
  <c r="D30" s="1"/>
  <c r="F67" i="40"/>
  <c r="G65"/>
  <c r="G70" i="39"/>
  <c r="F72"/>
  <c r="T10" i="46"/>
  <c r="V10" s="1"/>
  <c r="C33"/>
  <c r="E33" s="1"/>
  <c r="T14"/>
  <c r="V14" s="1"/>
  <c r="G38"/>
  <c r="I38" s="1"/>
  <c r="E38"/>
  <c r="E40" i="36"/>
  <c r="F40" s="1"/>
  <c r="E41"/>
  <c r="F41" s="1"/>
  <c r="AB7" i="21"/>
  <c r="T48" s="1"/>
  <c r="G48" s="1"/>
  <c r="U7"/>
  <c r="H7" i="33"/>
  <c r="E47" i="37"/>
  <c r="F47" s="1"/>
  <c r="E46"/>
  <c r="F46" s="1"/>
  <c r="E43" i="35"/>
  <c r="F43" s="1"/>
  <c r="E42"/>
  <c r="F42" s="1"/>
  <c r="I47" i="37"/>
  <c r="J47" s="1"/>
  <c r="I41" i="36"/>
  <c r="J41" s="1"/>
  <c r="F7" i="21"/>
  <c r="C36" i="36"/>
  <c r="C37"/>
  <c r="B3" s="1"/>
  <c r="B2" s="1"/>
  <c r="AC7" i="21"/>
  <c r="V48" s="1"/>
  <c r="I48" s="1"/>
  <c r="C43" i="37"/>
  <c r="B3" s="1"/>
  <c r="B2" s="1"/>
  <c r="C42"/>
  <c r="C39" i="35"/>
  <c r="B3" s="1"/>
  <c r="B2" s="1"/>
  <c r="C38"/>
  <c r="G59" i="34"/>
  <c r="H59" s="1"/>
  <c r="I59" s="1"/>
  <c r="J59" s="1"/>
  <c r="K59" s="1"/>
  <c r="L59" s="1"/>
  <c r="M59" s="1"/>
  <c r="N59" s="1"/>
  <c r="O59" s="1"/>
  <c r="F7" i="33"/>
  <c r="C27" i="12"/>
  <c r="D26" s="1"/>
  <c r="C32" s="1"/>
  <c r="D30" s="1"/>
  <c r="Q58" i="44"/>
  <c r="Q67"/>
  <c r="Q49"/>
  <c r="Q55" s="1"/>
  <c r="AE8" i="1"/>
  <c r="F7" i="67"/>
  <c r="W7" i="33" l="1"/>
  <c r="G38" i="71"/>
  <c r="I38" s="1"/>
  <c r="C65" i="15"/>
  <c r="G33" i="72"/>
  <c r="I33" s="1"/>
  <c r="C9" i="59"/>
  <c r="T10"/>
  <c r="D10"/>
  <c r="F5"/>
  <c r="V6"/>
  <c r="AY13" i="3"/>
  <c r="AY109"/>
  <c r="AY144"/>
  <c r="AY448"/>
  <c r="AY326"/>
  <c r="AY550"/>
  <c r="AY100"/>
  <c r="AY250"/>
  <c r="AY346"/>
  <c r="AY305"/>
  <c r="AY501"/>
  <c r="AY216"/>
  <c r="AY257"/>
  <c r="AY437"/>
  <c r="AY64"/>
  <c r="AY219"/>
  <c r="AY446"/>
  <c r="AY32"/>
  <c r="AY489"/>
  <c r="AY385"/>
  <c r="AY175"/>
  <c r="AY155"/>
  <c r="AY449"/>
  <c r="AY424"/>
  <c r="AY248"/>
  <c r="BQ6"/>
  <c r="AY480"/>
  <c r="AY497"/>
  <c r="AY534"/>
  <c r="AY93"/>
  <c r="AY571"/>
  <c r="AY212"/>
  <c r="AY284"/>
  <c r="AY301"/>
  <c r="AY491"/>
  <c r="AY286"/>
  <c r="AY16"/>
  <c r="AY386"/>
  <c r="AY430"/>
  <c r="AY365"/>
  <c r="AY388"/>
  <c r="AY447"/>
  <c r="AY440"/>
  <c r="AY363"/>
  <c r="AY502"/>
  <c r="AY23"/>
  <c r="AY180"/>
  <c r="AY524"/>
  <c r="AY332"/>
  <c r="AY375"/>
  <c r="AY189"/>
  <c r="AY110"/>
  <c r="AY477"/>
  <c r="AY231"/>
  <c r="AY462"/>
  <c r="AY300"/>
  <c r="AY196"/>
  <c r="AY523"/>
  <c r="AY97"/>
  <c r="AY272"/>
  <c r="AY282"/>
  <c r="AY376"/>
  <c r="BR6"/>
  <c r="AY373"/>
  <c r="AY299"/>
  <c r="AY177"/>
  <c r="AY26"/>
  <c r="AY98"/>
  <c r="AY427"/>
  <c r="AY476"/>
  <c r="AY548"/>
  <c r="AY47"/>
  <c r="AY343"/>
  <c r="AY435"/>
  <c r="AY420"/>
  <c r="AY528"/>
  <c r="AY333"/>
  <c r="AY337"/>
  <c r="AY465"/>
  <c r="AY42"/>
  <c r="AY356"/>
  <c r="AY162"/>
  <c r="AY498"/>
  <c r="AY519"/>
  <c r="AY390"/>
  <c r="AY264"/>
  <c r="AY302"/>
  <c r="AY191"/>
  <c r="AY266"/>
  <c r="AY472"/>
  <c r="AY151"/>
  <c r="AY174"/>
  <c r="AY68"/>
  <c r="AY113"/>
  <c r="AY313"/>
  <c r="BM6"/>
  <c r="AY488"/>
  <c r="AY444"/>
  <c r="AY570"/>
  <c r="AY508"/>
  <c r="AY398"/>
  <c r="AY438"/>
  <c r="AY411"/>
  <c r="AY314"/>
  <c r="AY471"/>
  <c r="AY456"/>
  <c r="AY60"/>
  <c r="AY237"/>
  <c r="AY214"/>
  <c r="AY428"/>
  <c r="AY543"/>
  <c r="AY460"/>
  <c r="AY210"/>
  <c r="AY55"/>
  <c r="AY283"/>
  <c r="AY553"/>
  <c r="AY369"/>
  <c r="AY198"/>
  <c r="AY57"/>
  <c r="AY397"/>
  <c r="AY463"/>
  <c r="AY62"/>
  <c r="AY126"/>
  <c r="AY560"/>
  <c r="AY400"/>
  <c r="AY405"/>
  <c r="AY99"/>
  <c r="AY432"/>
  <c r="BS6"/>
  <c r="AY544"/>
  <c r="AY515"/>
  <c r="AY569"/>
  <c r="AY380"/>
  <c r="AY239"/>
  <c r="AY546"/>
  <c r="AY492"/>
  <c r="AY467"/>
  <c r="AY450"/>
  <c r="AY274"/>
  <c r="AY156"/>
  <c r="AY96"/>
  <c r="AY360"/>
  <c r="AY90"/>
  <c r="AY285"/>
  <c r="AY557"/>
  <c r="AY130"/>
  <c r="AY509"/>
  <c r="BB6"/>
  <c r="AY79"/>
  <c r="AY466"/>
  <c r="D3" i="6"/>
  <c r="AY169" i="3"/>
  <c r="AY278"/>
  <c r="AY187"/>
  <c r="AY320"/>
  <c r="AY138"/>
  <c r="AY518"/>
  <c r="AY185"/>
  <c r="AY235"/>
  <c r="AY545"/>
  <c r="AY298"/>
  <c r="AY173"/>
  <c r="AY292"/>
  <c r="AY51"/>
  <c r="AY53"/>
  <c r="AY123"/>
  <c r="BF6"/>
  <c r="AY56"/>
  <c r="BT6"/>
  <c r="AY372"/>
  <c r="AY163"/>
  <c r="AY289"/>
  <c r="AY323"/>
  <c r="AY129"/>
  <c r="AY106"/>
  <c r="AY422"/>
  <c r="AY39"/>
  <c r="AY168"/>
  <c r="AY31"/>
  <c r="AY65"/>
  <c r="AY30"/>
  <c r="AY555"/>
  <c r="AY236"/>
  <c r="AY408"/>
  <c r="AY25"/>
  <c r="BH6"/>
  <c r="AY34"/>
  <c r="AY44"/>
  <c r="AY22"/>
  <c r="AY407"/>
  <c r="AY66"/>
  <c r="AY540"/>
  <c r="AY479"/>
  <c r="AY122"/>
  <c r="AY275"/>
  <c r="AY14"/>
  <c r="AY233"/>
  <c r="AY531"/>
  <c r="AY351"/>
  <c r="AY357"/>
  <c r="AY192"/>
  <c r="AY125"/>
  <c r="AY260"/>
  <c r="AY568"/>
  <c r="AY134"/>
  <c r="AY255"/>
  <c r="AY37"/>
  <c r="AY348"/>
  <c r="AY336"/>
  <c r="AY271"/>
  <c r="AY268"/>
  <c r="AY316"/>
  <c r="AY112"/>
  <c r="AY559"/>
  <c r="AY475"/>
  <c r="AY393"/>
  <c r="AY403"/>
  <c r="AY59"/>
  <c r="AY452"/>
  <c r="AY19"/>
  <c r="AY94"/>
  <c r="BO6"/>
  <c r="AY468"/>
  <c r="AY536"/>
  <c r="AY164"/>
  <c r="AY366"/>
  <c r="BL6"/>
  <c r="AY85"/>
  <c r="AY349"/>
  <c r="AY150"/>
  <c r="AY504"/>
  <c r="AY160"/>
  <c r="AY338"/>
  <c r="AY194"/>
  <c r="AY215"/>
  <c r="AY89"/>
  <c r="AY142"/>
  <c r="AY136"/>
  <c r="AY49"/>
  <c r="AY178"/>
  <c r="AY269"/>
  <c r="AY118"/>
  <c r="AY141"/>
  <c r="AY161"/>
  <c r="AY429"/>
  <c r="AY481"/>
  <c r="AY28"/>
  <c r="AY254"/>
  <c r="AY493"/>
  <c r="AY158"/>
  <c r="AY148"/>
  <c r="AY211"/>
  <c r="AY500"/>
  <c r="AY242"/>
  <c r="AY15"/>
  <c r="AY139"/>
  <c r="AY307"/>
  <c r="AY556"/>
  <c r="AY378"/>
  <c r="AY329"/>
  <c r="AY137"/>
  <c r="AY358"/>
  <c r="AY404"/>
  <c r="AY478"/>
  <c r="AY334"/>
  <c r="AY554"/>
  <c r="AY251"/>
  <c r="AY419"/>
  <c r="AY496"/>
  <c r="AY203"/>
  <c r="AY72"/>
  <c r="AY253"/>
  <c r="AY445"/>
  <c r="AY207"/>
  <c r="AY29"/>
  <c r="AY415"/>
  <c r="AY63"/>
  <c r="AY195"/>
  <c r="AY339"/>
  <c r="AY514"/>
  <c r="AY522"/>
  <c r="AY297"/>
  <c r="AY513"/>
  <c r="AY511"/>
  <c r="AY40"/>
  <c r="AY306"/>
  <c r="AY347"/>
  <c r="AY507"/>
  <c r="AY535"/>
  <c r="AY69"/>
  <c r="AY383"/>
  <c r="AY159"/>
  <c r="AY50"/>
  <c r="AY36"/>
  <c r="AY76"/>
  <c r="AY147"/>
  <c r="AY527"/>
  <c r="AY128"/>
  <c r="AY227"/>
  <c r="AY17"/>
  <c r="AY18"/>
  <c r="BE6"/>
  <c r="AY342"/>
  <c r="AY21"/>
  <c r="AY108"/>
  <c r="AY48"/>
  <c r="AY469"/>
  <c r="AY379"/>
  <c r="AY494"/>
  <c r="AY225"/>
  <c r="AY441"/>
  <c r="AY455"/>
  <c r="AY529"/>
  <c r="AY217"/>
  <c r="AY170"/>
  <c r="AY116"/>
  <c r="AY486"/>
  <c r="AY234"/>
  <c r="AY265"/>
  <c r="AY230"/>
  <c r="AY188"/>
  <c r="AY516"/>
  <c r="AY117"/>
  <c r="AY341"/>
  <c r="AY86"/>
  <c r="AY218"/>
  <c r="AY288"/>
  <c r="AY562"/>
  <c r="AY552"/>
  <c r="AY325"/>
  <c r="AY484"/>
  <c r="AY364"/>
  <c r="AY457"/>
  <c r="AY414"/>
  <c r="AY193"/>
  <c r="AY131"/>
  <c r="AY485"/>
  <c r="AY328"/>
  <c r="AY133"/>
  <c r="AY387"/>
  <c r="AY421"/>
  <c r="AY423"/>
  <c r="AY451"/>
  <c r="AY261"/>
  <c r="AY521"/>
  <c r="AY95"/>
  <c r="AY256"/>
  <c r="AY352"/>
  <c r="AY200"/>
  <c r="AY510"/>
  <c r="AY367"/>
  <c r="AY247"/>
  <c r="AY483"/>
  <c r="AY454"/>
  <c r="AY157"/>
  <c r="AY453"/>
  <c r="AY368"/>
  <c r="AY226"/>
  <c r="AY152"/>
  <c r="AY487"/>
  <c r="AY267"/>
  <c r="AY530"/>
  <c r="AY77"/>
  <c r="AY262"/>
  <c r="AY149"/>
  <c r="AY135"/>
  <c r="AY80"/>
  <c r="AY209"/>
  <c r="AY310"/>
  <c r="AY340"/>
  <c r="AY442"/>
  <c r="AY103"/>
  <c r="AY280"/>
  <c r="AY394"/>
  <c r="AY24"/>
  <c r="AY290"/>
  <c r="AY371"/>
  <c r="AY396"/>
  <c r="AY107"/>
  <c r="AY417"/>
  <c r="AY355"/>
  <c r="AY70"/>
  <c r="AY412"/>
  <c r="AY114"/>
  <c r="AY27"/>
  <c r="AY206"/>
  <c r="AY565"/>
  <c r="AY344"/>
  <c r="AY327"/>
  <c r="AY418"/>
  <c r="AY331"/>
  <c r="AY539"/>
  <c r="AY296"/>
  <c r="AY243"/>
  <c r="AY474"/>
  <c r="AY83"/>
  <c r="AY464"/>
  <c r="AY35"/>
  <c r="AY335"/>
  <c r="AY154"/>
  <c r="AY166"/>
  <c r="AY503"/>
  <c r="AY223"/>
  <c r="AY401"/>
  <c r="AY433"/>
  <c r="AY499"/>
  <c r="AY33"/>
  <c r="AY377"/>
  <c r="AY345"/>
  <c r="BJ6"/>
  <c r="AY506"/>
  <c r="AY490"/>
  <c r="AY391"/>
  <c r="AY473"/>
  <c r="BI6"/>
  <c r="AY470"/>
  <c r="AY517"/>
  <c r="AY551"/>
  <c r="AY132"/>
  <c r="AY303"/>
  <c r="AY399"/>
  <c r="AY384"/>
  <c r="AY322"/>
  <c r="AY533"/>
  <c r="AY558"/>
  <c r="AY190"/>
  <c r="AY549"/>
  <c r="AY104"/>
  <c r="AY291"/>
  <c r="AY146"/>
  <c r="AY258"/>
  <c r="AY67"/>
  <c r="AY317"/>
  <c r="AY350"/>
  <c r="AY542"/>
  <c r="AY143"/>
  <c r="AY52"/>
  <c r="AY374"/>
  <c r="AY197"/>
  <c r="AY431"/>
  <c r="AY309"/>
  <c r="AY318"/>
  <c r="AY406"/>
  <c r="AY140"/>
  <c r="AY186"/>
  <c r="AY82"/>
  <c r="AY238"/>
  <c r="BC6"/>
  <c r="AY304"/>
  <c r="BN6"/>
  <c r="AY520"/>
  <c r="AY244"/>
  <c r="AY505"/>
  <c r="AY84"/>
  <c r="AY410"/>
  <c r="AY362"/>
  <c r="AY228"/>
  <c r="AY54"/>
  <c r="BG6"/>
  <c r="AY354"/>
  <c r="AY45"/>
  <c r="AY81"/>
  <c r="AY124"/>
  <c r="AY111"/>
  <c r="AY75"/>
  <c r="AY413"/>
  <c r="AY20"/>
  <c r="AY281"/>
  <c r="AY402"/>
  <c r="AY392"/>
  <c r="AY115"/>
  <c r="AY205"/>
  <c r="AY78"/>
  <c r="AY179"/>
  <c r="AY245"/>
  <c r="AY538"/>
  <c r="AY409"/>
  <c r="AY87"/>
  <c r="AY537"/>
  <c r="AY232"/>
  <c r="AY381"/>
  <c r="AY294"/>
  <c r="AY58"/>
  <c r="AY416"/>
  <c r="AY459"/>
  <c r="AY101"/>
  <c r="AY43"/>
  <c r="AY204"/>
  <c r="AY311"/>
  <c r="AY359"/>
  <c r="AY273"/>
  <c r="AY443"/>
  <c r="BA6"/>
  <c r="AY221"/>
  <c r="AY458"/>
  <c r="AY287"/>
  <c r="AY41"/>
  <c r="BK6"/>
  <c r="AY201"/>
  <c r="AY38"/>
  <c r="BD6"/>
  <c r="AY249"/>
  <c r="BP6"/>
  <c r="AY220"/>
  <c r="AY567"/>
  <c r="AY434"/>
  <c r="AY270"/>
  <c r="AY532"/>
  <c r="AY353"/>
  <c r="AY426"/>
  <c r="AY482"/>
  <c r="AY277"/>
  <c r="AY295"/>
  <c r="AY525"/>
  <c r="AY224"/>
  <c r="AY259"/>
  <c r="AY319"/>
  <c r="AY208"/>
  <c r="AY71"/>
  <c r="AY495"/>
  <c r="AY547"/>
  <c r="AY119"/>
  <c r="AY172"/>
  <c r="AY425"/>
  <c r="AY88"/>
  <c r="AY74"/>
  <c r="AY361"/>
  <c r="AY324"/>
  <c r="AY315"/>
  <c r="AY105"/>
  <c r="AY181"/>
  <c r="AY241"/>
  <c r="AY382"/>
  <c r="AY308"/>
  <c r="AY246"/>
  <c r="AY183"/>
  <c r="AY321"/>
  <c r="AY526"/>
  <c r="AY176"/>
  <c r="AY561"/>
  <c r="AY127"/>
  <c r="AY461"/>
  <c r="AY222"/>
  <c r="AY182"/>
  <c r="AY389"/>
  <c r="AY91"/>
  <c r="AY120"/>
  <c r="AY145"/>
  <c r="AY184"/>
  <c r="AY199"/>
  <c r="AY563"/>
  <c r="AY436"/>
  <c r="AY512"/>
  <c r="AY252"/>
  <c r="AY566"/>
  <c r="AY312"/>
  <c r="AY165"/>
  <c r="AY121"/>
  <c r="AY202"/>
  <c r="AY279"/>
  <c r="AY293"/>
  <c r="AY229"/>
  <c r="AY171"/>
  <c r="AY370"/>
  <c r="AY153"/>
  <c r="AY240"/>
  <c r="AY395"/>
  <c r="AY213"/>
  <c r="AY61"/>
  <c r="AY439"/>
  <c r="AY263"/>
  <c r="AY102"/>
  <c r="AY276"/>
  <c r="AY541"/>
  <c r="AY73"/>
  <c r="AY572"/>
  <c r="AY46"/>
  <c r="AY330"/>
  <c r="AY564"/>
  <c r="AY92"/>
  <c r="AY167"/>
  <c r="D46" i="9"/>
  <c r="D16" i="43"/>
  <c r="C16" s="1"/>
  <c r="E6" i="6"/>
  <c r="D13" i="11" s="1"/>
  <c r="C13" s="1"/>
  <c r="L38" i="9"/>
  <c r="B14" i="66" s="1"/>
  <c r="B1" s="1"/>
  <c r="D45" i="9"/>
  <c r="C21" i="4"/>
  <c r="O5" i="54" s="1"/>
  <c r="B45" i="63" s="1"/>
  <c r="D44" i="9"/>
  <c r="G38" i="72"/>
  <c r="I38" s="1"/>
  <c r="C59" i="77"/>
  <c r="C65"/>
  <c r="AA34" i="34"/>
  <c r="S34"/>
  <c r="J18" i="77"/>
  <c r="J5"/>
  <c r="J5" i="15"/>
  <c r="J18"/>
  <c r="AB34" i="34"/>
  <c r="U34"/>
  <c r="W34"/>
  <c r="AC34"/>
  <c r="B3" i="11"/>
  <c r="G34" i="72"/>
  <c r="I34" s="1"/>
  <c r="E34" i="71"/>
  <c r="B4" i="11"/>
  <c r="AC12" i="39"/>
  <c r="W12"/>
  <c r="S12"/>
  <c r="AA12"/>
  <c r="AC12" i="40"/>
  <c r="W12"/>
  <c r="L16" i="1"/>
  <c r="C13" i="43"/>
  <c r="N16" i="1"/>
  <c r="C29" i="43" s="1"/>
  <c r="S12" i="40"/>
  <c r="AA12"/>
  <c r="U12"/>
  <c r="AB12"/>
  <c r="U12" i="39"/>
  <c r="AB12"/>
  <c r="P7" i="1"/>
  <c r="O16"/>
  <c r="G39" i="46"/>
  <c r="I39" s="1"/>
  <c r="F7" i="34"/>
  <c r="S7" s="1"/>
  <c r="E37" i="46"/>
  <c r="E36"/>
  <c r="G37" i="72"/>
  <c r="I37" s="1"/>
  <c r="G35"/>
  <c r="I35" s="1"/>
  <c r="E33" i="71"/>
  <c r="G34" i="46"/>
  <c r="I34" s="1"/>
  <c r="E35"/>
  <c r="G35" i="71"/>
  <c r="I35" s="1"/>
  <c r="G36"/>
  <c r="I36" s="1"/>
  <c r="G37"/>
  <c r="I37" s="1"/>
  <c r="E39"/>
  <c r="G33" i="46"/>
  <c r="I33" s="1"/>
  <c r="M21" i="6"/>
  <c r="I21" s="1"/>
  <c r="S8" i="1"/>
  <c r="M20" i="6"/>
  <c r="I20" s="1"/>
  <c r="S7" i="1"/>
  <c r="H23" i="6"/>
  <c r="S6" i="1"/>
  <c r="M19" i="6"/>
  <c r="K27"/>
  <c r="H65" i="40"/>
  <c r="G67"/>
  <c r="H70" i="39"/>
  <c r="G72"/>
  <c r="H7" i="34"/>
  <c r="U7" s="1"/>
  <c r="S7" i="21"/>
  <c r="AA7"/>
  <c r="R48" s="1"/>
  <c r="AA7" i="33"/>
  <c r="R48" s="1"/>
  <c r="S7"/>
  <c r="I52"/>
  <c r="J52" s="1"/>
  <c r="I52" i="21"/>
  <c r="J52" s="1"/>
  <c r="AB7" i="33"/>
  <c r="T48" s="1"/>
  <c r="G48" s="1"/>
  <c r="U7"/>
  <c r="G52" i="21"/>
  <c r="H52" s="1"/>
  <c r="G53"/>
  <c r="H53" s="1"/>
  <c r="J7" i="34"/>
  <c r="E4" i="67"/>
  <c r="D77" i="9"/>
  <c r="N75" s="1"/>
  <c r="C17" i="15"/>
  <c r="D16" i="70"/>
  <c r="C17" i="77"/>
  <c r="D16" i="69"/>
  <c r="B7" i="67"/>
  <c r="E7"/>
  <c r="D22" i="12"/>
  <c r="D16"/>
  <c r="D22" i="69"/>
  <c r="C19" i="44"/>
  <c r="D22" i="70"/>
  <c r="F41" i="77"/>
  <c r="F68" l="1"/>
  <c r="C7" i="66"/>
  <c r="C6"/>
  <c r="C8"/>
  <c r="D9" i="59"/>
  <c r="C8"/>
  <c r="D14" i="6"/>
  <c r="E63" i="40"/>
  <c r="F44" i="9"/>
  <c r="D28" i="6"/>
  <c r="D9"/>
  <c r="D26"/>
  <c r="E45" i="9"/>
  <c r="D15" i="6"/>
  <c r="E46" i="9"/>
  <c r="D20" i="6"/>
  <c r="D25"/>
  <c r="D24"/>
  <c r="H24"/>
  <c r="D8"/>
  <c r="F45" i="9"/>
  <c r="D11" i="6"/>
  <c r="E68" i="39"/>
  <c r="D23" i="6"/>
  <c r="R23" s="1"/>
  <c r="D12"/>
  <c r="H26"/>
  <c r="D6"/>
  <c r="I7"/>
  <c r="D22"/>
  <c r="K38" i="9"/>
  <c r="C14" i="66" s="1"/>
  <c r="B2" s="1"/>
  <c r="D29" i="6"/>
  <c r="F1" i="72"/>
  <c r="F46" i="9"/>
  <c r="H25" i="6"/>
  <c r="E44" i="9"/>
  <c r="D10" i="6"/>
  <c r="C22" i="4"/>
  <c r="D5" i="6"/>
  <c r="D19"/>
  <c r="D21"/>
  <c r="H22"/>
  <c r="D13"/>
  <c r="B5" i="11"/>
  <c r="J24" i="77"/>
  <c r="J26"/>
  <c r="J29" s="1"/>
  <c r="J24" i="15"/>
  <c r="J26"/>
  <c r="J29" s="1"/>
  <c r="AA7" i="34"/>
  <c r="R49" s="1"/>
  <c r="E49" s="1"/>
  <c r="D19" i="12"/>
  <c r="C19" s="1"/>
  <c r="C16"/>
  <c r="C22"/>
  <c r="C20" s="1"/>
  <c r="C16" i="70"/>
  <c r="D19"/>
  <c r="C19" s="1"/>
  <c r="C22"/>
  <c r="C20" s="1"/>
  <c r="C16" i="69"/>
  <c r="D19"/>
  <c r="C19" s="1"/>
  <c r="C22"/>
  <c r="C20" s="1"/>
  <c r="P16" i="1"/>
  <c r="C14" i="43"/>
  <c r="C17"/>
  <c r="AB7" i="34"/>
  <c r="T49" s="1"/>
  <c r="G49" s="1"/>
  <c r="G53" s="1"/>
  <c r="H53" s="1"/>
  <c r="S20" i="6"/>
  <c r="H20"/>
  <c r="R20" s="1"/>
  <c r="R7" i="1" s="1"/>
  <c r="S21" i="6"/>
  <c r="H21"/>
  <c r="R21" s="1"/>
  <c r="R8" i="1" s="1"/>
  <c r="S16"/>
  <c r="T6" s="1"/>
  <c r="I19" i="6"/>
  <c r="M27"/>
  <c r="I70" i="39"/>
  <c r="H72"/>
  <c r="H67" i="40"/>
  <c r="I65"/>
  <c r="G52" i="33"/>
  <c r="H52" s="1"/>
  <c r="G53"/>
  <c r="H53" s="1"/>
  <c r="R49"/>
  <c r="E48"/>
  <c r="R49" i="21"/>
  <c r="E48"/>
  <c r="W7" i="34"/>
  <c r="AC7"/>
  <c r="V49" s="1"/>
  <c r="I49" s="1"/>
  <c r="E3" i="67"/>
  <c r="B2"/>
  <c r="C13" i="12"/>
  <c r="F37" i="44"/>
  <c r="M23"/>
  <c r="M21" i="15"/>
  <c r="M21" i="77"/>
  <c r="R24" i="6" l="1"/>
  <c r="R26"/>
  <c r="D30"/>
  <c r="D16"/>
  <c r="D7" i="66"/>
  <c r="D6"/>
  <c r="D8"/>
  <c r="D8" i="59"/>
  <c r="C7"/>
  <c r="R22" i="6"/>
  <c r="R25"/>
  <c r="G3" i="71"/>
  <c r="G3" i="46"/>
  <c r="G3" i="72"/>
  <c r="A6" i="64"/>
  <c r="A20" i="51"/>
  <c r="B15" i="63" s="1"/>
  <c r="N5" i="54"/>
  <c r="B43" i="63" s="1"/>
  <c r="A20" i="64"/>
  <c r="A6" i="51"/>
  <c r="B7" i="63" s="1"/>
  <c r="D27" i="6"/>
  <c r="D31" s="1"/>
  <c r="J20" i="77"/>
  <c r="C34"/>
  <c r="F62"/>
  <c r="C61" s="1"/>
  <c r="R50" i="34"/>
  <c r="C49" s="1"/>
  <c r="U8" i="1" s="1"/>
  <c r="C18" i="43"/>
  <c r="C19" s="1"/>
  <c r="C14" i="12"/>
  <c r="C17"/>
  <c r="I27" i="6"/>
  <c r="H19"/>
  <c r="S19"/>
  <c r="S27" s="1"/>
  <c r="T8" i="1"/>
  <c r="T11"/>
  <c r="T7"/>
  <c r="T12"/>
  <c r="T9"/>
  <c r="T13"/>
  <c r="T10"/>
  <c r="J65" i="40"/>
  <c r="I67"/>
  <c r="J70" i="39"/>
  <c r="I72"/>
  <c r="J22" i="44"/>
  <c r="J20" i="15"/>
  <c r="C36" i="44"/>
  <c r="C34" i="15"/>
  <c r="F62"/>
  <c r="C61" s="1"/>
  <c r="I53" i="34"/>
  <c r="J53" s="1"/>
  <c r="I54"/>
  <c r="J54" s="1"/>
  <c r="E53" i="21"/>
  <c r="F53" s="1"/>
  <c r="E52"/>
  <c r="F52" s="1"/>
  <c r="I53"/>
  <c r="J53" s="1"/>
  <c r="G54" i="34"/>
  <c r="H54" s="1"/>
  <c r="C48" i="21"/>
  <c r="C49"/>
  <c r="B3" s="1"/>
  <c r="B2" s="1"/>
  <c r="E52" i="33"/>
  <c r="F52" s="1"/>
  <c r="E53"/>
  <c r="F53" s="1"/>
  <c r="I53"/>
  <c r="J53" s="1"/>
  <c r="E54" i="34"/>
  <c r="F54" s="1"/>
  <c r="E53"/>
  <c r="F53" s="1"/>
  <c r="C49" i="33"/>
  <c r="B3" s="1"/>
  <c r="B2" s="1"/>
  <c r="C48"/>
  <c r="U7" i="1" s="1"/>
  <c r="I6" i="6"/>
  <c r="I5"/>
  <c r="B3" i="67"/>
  <c r="B4"/>
  <c r="C13" i="69"/>
  <c r="C14" i="15"/>
  <c r="F6" i="77"/>
  <c r="C16" i="44"/>
  <c r="C14" i="77"/>
  <c r="F6" i="15"/>
  <c r="C13" i="70"/>
  <c r="H22" i="72" l="1"/>
  <c r="L101"/>
  <c r="AI11"/>
  <c r="AI13" s="1"/>
  <c r="M101"/>
  <c r="AJ11"/>
  <c r="AJ13" s="1"/>
  <c r="D101"/>
  <c r="E22"/>
  <c r="G22"/>
  <c r="N101"/>
  <c r="AE11"/>
  <c r="AE13" s="1"/>
  <c r="F22"/>
  <c r="G101"/>
  <c r="E101"/>
  <c r="AH11"/>
  <c r="AH13" s="1"/>
  <c r="AA11"/>
  <c r="AA13" s="1"/>
  <c r="AG11"/>
  <c r="AG13" s="1"/>
  <c r="AC11"/>
  <c r="AC13" s="1"/>
  <c r="AB11"/>
  <c r="AB13" s="1"/>
  <c r="Z7"/>
  <c r="H101"/>
  <c r="B113"/>
  <c r="AD11"/>
  <c r="AD13" s="1"/>
  <c r="Y11"/>
  <c r="Y13" s="1"/>
  <c r="J101"/>
  <c r="K101"/>
  <c r="AF11"/>
  <c r="AF13" s="1"/>
  <c r="Z11"/>
  <c r="Z13" s="1"/>
  <c r="F101"/>
  <c r="C101"/>
  <c r="I101"/>
  <c r="AF11" i="46"/>
  <c r="AF13" s="1"/>
  <c r="AE11"/>
  <c r="AE13" s="1"/>
  <c r="F101"/>
  <c r="B113"/>
  <c r="L101"/>
  <c r="J101"/>
  <c r="AJ11"/>
  <c r="AJ13" s="1"/>
  <c r="AI11"/>
  <c r="AI13" s="1"/>
  <c r="H22"/>
  <c r="AD11"/>
  <c r="AD13" s="1"/>
  <c r="M101"/>
  <c r="H101"/>
  <c r="K101"/>
  <c r="F22"/>
  <c r="G101"/>
  <c r="G22"/>
  <c r="AG11"/>
  <c r="AG13" s="1"/>
  <c r="D101"/>
  <c r="AB11"/>
  <c r="AB13" s="1"/>
  <c r="AH11"/>
  <c r="AH13" s="1"/>
  <c r="I101"/>
  <c r="Y11"/>
  <c r="Y13" s="1"/>
  <c r="AA11"/>
  <c r="AA13" s="1"/>
  <c r="Z11"/>
  <c r="Z13" s="1"/>
  <c r="N104" i="45"/>
  <c r="C101" i="46"/>
  <c r="E101"/>
  <c r="AC11"/>
  <c r="AC13" s="1"/>
  <c r="N101"/>
  <c r="E22"/>
  <c r="Z7"/>
  <c r="AC11" i="71"/>
  <c r="AC13" s="1"/>
  <c r="D101"/>
  <c r="H101"/>
  <c r="K101"/>
  <c r="H22"/>
  <c r="AG11"/>
  <c r="AG13" s="1"/>
  <c r="F22"/>
  <c r="F101"/>
  <c r="J101"/>
  <c r="N101"/>
  <c r="B113"/>
  <c r="Z7"/>
  <c r="Z11"/>
  <c r="Z13" s="1"/>
  <c r="AB11"/>
  <c r="AB13" s="1"/>
  <c r="AF11"/>
  <c r="AF13" s="1"/>
  <c r="AD11"/>
  <c r="AD13" s="1"/>
  <c r="AJ11"/>
  <c r="AJ13" s="1"/>
  <c r="C101"/>
  <c r="AA11"/>
  <c r="AA13" s="1"/>
  <c r="AH11"/>
  <c r="AH13" s="1"/>
  <c r="E22"/>
  <c r="I101"/>
  <c r="AE11"/>
  <c r="AE13" s="1"/>
  <c r="Y11"/>
  <c r="Y13" s="1"/>
  <c r="AI11"/>
  <c r="AI13" s="1"/>
  <c r="G101"/>
  <c r="M101"/>
  <c r="G22"/>
  <c r="E101"/>
  <c r="L101"/>
  <c r="D7" i="59"/>
  <c r="C6"/>
  <c r="S2" i="46"/>
  <c r="T2" s="1"/>
  <c r="V2" s="1"/>
  <c r="S5"/>
  <c r="T5" s="1"/>
  <c r="V5" s="1"/>
  <c r="C23"/>
  <c r="S7"/>
  <c r="T7" s="1"/>
  <c r="V7" s="1"/>
  <c r="S3"/>
  <c r="T3" s="1"/>
  <c r="V3" s="1"/>
  <c r="S6"/>
  <c r="T6" s="1"/>
  <c r="V6" s="1"/>
  <c r="S4"/>
  <c r="T4" s="1"/>
  <c r="V4" s="1"/>
  <c r="S7" i="72"/>
  <c r="T7" s="1"/>
  <c r="V7" s="1"/>
  <c r="S4"/>
  <c r="T4" s="1"/>
  <c r="V4" s="1"/>
  <c r="S3"/>
  <c r="T3" s="1"/>
  <c r="V3" s="1"/>
  <c r="S5"/>
  <c r="T5" s="1"/>
  <c r="V5" s="1"/>
  <c r="S6"/>
  <c r="T6" s="1"/>
  <c r="V6" s="1"/>
  <c r="C23"/>
  <c r="S2"/>
  <c r="T2" s="1"/>
  <c r="V2" s="1"/>
  <c r="S7" i="71"/>
  <c r="T7" s="1"/>
  <c r="V7" s="1"/>
  <c r="S3"/>
  <c r="T3" s="1"/>
  <c r="V3" s="1"/>
  <c r="C23"/>
  <c r="S6"/>
  <c r="T6" s="1"/>
  <c r="V6" s="1"/>
  <c r="S2"/>
  <c r="T2" s="1"/>
  <c r="V2" s="1"/>
  <c r="S4"/>
  <c r="T4" s="1"/>
  <c r="V4" s="1"/>
  <c r="S5"/>
  <c r="T5" s="1"/>
  <c r="V5" s="1"/>
  <c r="C50" i="34"/>
  <c r="B3" s="1"/>
  <c r="B2" s="1"/>
  <c r="C18" i="77"/>
  <c r="C15"/>
  <c r="C6"/>
  <c r="C10" s="1"/>
  <c r="F31"/>
  <c r="F31" i="15"/>
  <c r="C6"/>
  <c r="C10" s="1"/>
  <c r="L57" i="77"/>
  <c r="L60" s="1"/>
  <c r="C25" i="43"/>
  <c r="C24" s="1"/>
  <c r="C22"/>
  <c r="C21" s="1"/>
  <c r="C18" i="12"/>
  <c r="C23" s="1"/>
  <c r="C35" s="1"/>
  <c r="C33" s="1"/>
  <c r="C17" i="70"/>
  <c r="C14"/>
  <c r="C17" i="69"/>
  <c r="C14"/>
  <c r="C20" i="44"/>
  <c r="C17"/>
  <c r="C18" i="15"/>
  <c r="C15"/>
  <c r="R19" i="6"/>
  <c r="H27"/>
  <c r="T16" i="1"/>
  <c r="K70" i="39"/>
  <c r="J72"/>
  <c r="K65" i="40"/>
  <c r="J67"/>
  <c r="K103" i="72" l="1"/>
  <c r="K106"/>
  <c r="K102"/>
  <c r="K104"/>
  <c r="K109"/>
  <c r="K107"/>
  <c r="K105"/>
  <c r="I109" i="71"/>
  <c r="I107"/>
  <c r="I104"/>
  <c r="I105"/>
  <c r="I103"/>
  <c r="I106"/>
  <c r="I102"/>
  <c r="N106"/>
  <c r="N104"/>
  <c r="N102"/>
  <c r="N109"/>
  <c r="N107"/>
  <c r="N103"/>
  <c r="N105"/>
  <c r="N103" i="46"/>
  <c r="N109"/>
  <c r="N104"/>
  <c r="N105"/>
  <c r="N107"/>
  <c r="N106"/>
  <c r="N102"/>
  <c r="L104"/>
  <c r="L109"/>
  <c r="L103"/>
  <c r="L102"/>
  <c r="L106"/>
  <c r="L105"/>
  <c r="L107"/>
  <c r="D22" i="71"/>
  <c r="J109"/>
  <c r="J104"/>
  <c r="J106"/>
  <c r="J102"/>
  <c r="J107"/>
  <c r="J105"/>
  <c r="J103"/>
  <c r="B116" i="46"/>
  <c r="C116" s="1"/>
  <c r="D117"/>
  <c r="E117" s="1"/>
  <c r="F117" s="1"/>
  <c r="G117" s="1"/>
  <c r="H117" s="1"/>
  <c r="D118"/>
  <c r="E118" s="1"/>
  <c r="F118" s="1"/>
  <c r="I116"/>
  <c r="J116" s="1"/>
  <c r="K116" s="1"/>
  <c r="L116" s="1"/>
  <c r="M116" s="1"/>
  <c r="D116"/>
  <c r="E116" s="1"/>
  <c r="F116" s="1"/>
  <c r="G116" s="1"/>
  <c r="H116" s="1"/>
  <c r="D115"/>
  <c r="E115" s="1"/>
  <c r="F115" s="1"/>
  <c r="G115" s="1"/>
  <c r="H115" s="1"/>
  <c r="B118"/>
  <c r="C118" s="1"/>
  <c r="I115"/>
  <c r="J115" s="1"/>
  <c r="K115" s="1"/>
  <c r="L115" s="1"/>
  <c r="M115" s="1"/>
  <c r="I117"/>
  <c r="J117" s="1"/>
  <c r="K117" s="1"/>
  <c r="L117" s="1"/>
  <c r="M117" s="1"/>
  <c r="I118"/>
  <c r="J118" s="1"/>
  <c r="K118" s="1"/>
  <c r="L118" s="1"/>
  <c r="M118" s="1"/>
  <c r="B117"/>
  <c r="C117" s="1"/>
  <c r="G118"/>
  <c r="H118" s="1"/>
  <c r="B115"/>
  <c r="E102" i="72"/>
  <c r="E103"/>
  <c r="E109"/>
  <c r="E107"/>
  <c r="E105"/>
  <c r="E106"/>
  <c r="E104"/>
  <c r="I115" i="71"/>
  <c r="J115" s="1"/>
  <c r="K115" s="1"/>
  <c r="L115" s="1"/>
  <c r="M115" s="1"/>
  <c r="I117"/>
  <c r="J117" s="1"/>
  <c r="K117" s="1"/>
  <c r="L117" s="1"/>
  <c r="M117" s="1"/>
  <c r="B117"/>
  <c r="C117" s="1"/>
  <c r="B115"/>
  <c r="C115" s="1"/>
  <c r="I118"/>
  <c r="J118" s="1"/>
  <c r="K118" s="1"/>
  <c r="L118" s="1"/>
  <c r="M118" s="1"/>
  <c r="B118"/>
  <c r="C118" s="1"/>
  <c r="D116"/>
  <c r="E116" s="1"/>
  <c r="F116" s="1"/>
  <c r="G116" s="1"/>
  <c r="H116" s="1"/>
  <c r="G118"/>
  <c r="H118" s="1"/>
  <c r="B116"/>
  <c r="C116" s="1"/>
  <c r="D118"/>
  <c r="E118" s="1"/>
  <c r="F118" s="1"/>
  <c r="D117"/>
  <c r="E117" s="1"/>
  <c r="F117" s="1"/>
  <c r="G117" s="1"/>
  <c r="H117" s="1"/>
  <c r="D115"/>
  <c r="E115" s="1"/>
  <c r="F115" s="1"/>
  <c r="G115" s="1"/>
  <c r="H115" s="1"/>
  <c r="I116"/>
  <c r="J116" s="1"/>
  <c r="K116" s="1"/>
  <c r="L116" s="1"/>
  <c r="M116" s="1"/>
  <c r="D22" i="46"/>
  <c r="D103"/>
  <c r="D109"/>
  <c r="D107"/>
  <c r="D106"/>
  <c r="D102"/>
  <c r="D104"/>
  <c r="D105"/>
  <c r="J109"/>
  <c r="J106"/>
  <c r="J107"/>
  <c r="J102"/>
  <c r="J103"/>
  <c r="J105"/>
  <c r="J104"/>
  <c r="J103" i="72"/>
  <c r="J102"/>
  <c r="J109"/>
  <c r="J104"/>
  <c r="J106"/>
  <c r="J107"/>
  <c r="J105"/>
  <c r="G109"/>
  <c r="G107"/>
  <c r="G105"/>
  <c r="G103"/>
  <c r="G104"/>
  <c r="G106"/>
  <c r="G102"/>
  <c r="C5" i="59"/>
  <c r="T6"/>
  <c r="D6"/>
  <c r="F106" i="71"/>
  <c r="F104"/>
  <c r="F102"/>
  <c r="F103"/>
  <c r="F105"/>
  <c r="F109"/>
  <c r="F107"/>
  <c r="E104" i="46"/>
  <c r="E102"/>
  <c r="E103"/>
  <c r="E109"/>
  <c r="E105"/>
  <c r="E106"/>
  <c r="E107"/>
  <c r="G103"/>
  <c r="G105"/>
  <c r="G104"/>
  <c r="G106"/>
  <c r="G109"/>
  <c r="G102"/>
  <c r="G107"/>
  <c r="F106"/>
  <c r="F107"/>
  <c r="F109"/>
  <c r="F102"/>
  <c r="F105"/>
  <c r="F103"/>
  <c r="F104"/>
  <c r="I117" i="72"/>
  <c r="J117" s="1"/>
  <c r="K117" s="1"/>
  <c r="L117" s="1"/>
  <c r="M117" s="1"/>
  <c r="B118"/>
  <c r="C118" s="1"/>
  <c r="B117"/>
  <c r="C117" s="1"/>
  <c r="B116"/>
  <c r="C116" s="1"/>
  <c r="I116"/>
  <c r="J116" s="1"/>
  <c r="K116" s="1"/>
  <c r="L116" s="1"/>
  <c r="M116" s="1"/>
  <c r="B115"/>
  <c r="C115" s="1"/>
  <c r="I115"/>
  <c r="J115" s="1"/>
  <c r="K115" s="1"/>
  <c r="L115" s="1"/>
  <c r="M115" s="1"/>
  <c r="G118"/>
  <c r="H118" s="1"/>
  <c r="D118"/>
  <c r="E118" s="1"/>
  <c r="F118" s="1"/>
  <c r="D116"/>
  <c r="E116" s="1"/>
  <c r="F116" s="1"/>
  <c r="G116" s="1"/>
  <c r="H116" s="1"/>
  <c r="D117"/>
  <c r="E117" s="1"/>
  <c r="F117" s="1"/>
  <c r="G117" s="1"/>
  <c r="H117" s="1"/>
  <c r="I118"/>
  <c r="J118" s="1"/>
  <c r="K118" s="1"/>
  <c r="L118" s="1"/>
  <c r="M118" s="1"/>
  <c r="D115"/>
  <c r="E115" s="1"/>
  <c r="F115" s="1"/>
  <c r="G115" s="1"/>
  <c r="H115" s="1"/>
  <c r="N102"/>
  <c r="N107"/>
  <c r="N105"/>
  <c r="N103"/>
  <c r="N109"/>
  <c r="N106"/>
  <c r="N104"/>
  <c r="H105"/>
  <c r="H109"/>
  <c r="H104"/>
  <c r="H107"/>
  <c r="H106"/>
  <c r="H102"/>
  <c r="H103"/>
  <c r="K102" i="46"/>
  <c r="K109"/>
  <c r="K107"/>
  <c r="K106"/>
  <c r="K105"/>
  <c r="K103"/>
  <c r="K104"/>
  <c r="D22" i="72"/>
  <c r="H105" i="46"/>
  <c r="H109"/>
  <c r="H104"/>
  <c r="H103"/>
  <c r="H107"/>
  <c r="H102"/>
  <c r="H106"/>
  <c r="I109" i="72"/>
  <c r="I107"/>
  <c r="I105"/>
  <c r="I103"/>
  <c r="I104"/>
  <c r="I106"/>
  <c r="I102"/>
  <c r="D105"/>
  <c r="D103"/>
  <c r="D109"/>
  <c r="D102"/>
  <c r="D104"/>
  <c r="D106"/>
  <c r="D107"/>
  <c r="E104" i="71"/>
  <c r="E107"/>
  <c r="E105"/>
  <c r="E103"/>
  <c r="E106"/>
  <c r="E102"/>
  <c r="E109"/>
  <c r="K102"/>
  <c r="K105"/>
  <c r="K107"/>
  <c r="K103"/>
  <c r="K109"/>
  <c r="K104"/>
  <c r="K106"/>
  <c r="M109" i="46"/>
  <c r="M107"/>
  <c r="M106"/>
  <c r="M105"/>
  <c r="M103"/>
  <c r="M102"/>
  <c r="M104"/>
  <c r="C109" i="72"/>
  <c r="C107"/>
  <c r="C105"/>
  <c r="C103"/>
  <c r="C106"/>
  <c r="C102"/>
  <c r="C104"/>
  <c r="L106" i="71"/>
  <c r="L104"/>
  <c r="L109"/>
  <c r="L102"/>
  <c r="L107"/>
  <c r="L105"/>
  <c r="L103"/>
  <c r="C106"/>
  <c r="C104"/>
  <c r="C102"/>
  <c r="C107"/>
  <c r="C103"/>
  <c r="C105"/>
  <c r="C109"/>
  <c r="M102"/>
  <c r="M105"/>
  <c r="M109"/>
  <c r="M106"/>
  <c r="M107"/>
  <c r="M103"/>
  <c r="M104"/>
  <c r="H107"/>
  <c r="H104"/>
  <c r="H103"/>
  <c r="H109"/>
  <c r="H106"/>
  <c r="H102"/>
  <c r="H105"/>
  <c r="F104" i="72"/>
  <c r="F107"/>
  <c r="F105"/>
  <c r="F103"/>
  <c r="F102"/>
  <c r="F109"/>
  <c r="F106"/>
  <c r="M109"/>
  <c r="M107"/>
  <c r="M105"/>
  <c r="M103"/>
  <c r="M102"/>
  <c r="M104"/>
  <c r="M106"/>
  <c r="C103" i="46"/>
  <c r="C104"/>
  <c r="C105"/>
  <c r="C102"/>
  <c r="C106"/>
  <c r="C107"/>
  <c r="C109"/>
  <c r="G109" i="71"/>
  <c r="G106"/>
  <c r="G104"/>
  <c r="G102"/>
  <c r="G105"/>
  <c r="G107"/>
  <c r="G103"/>
  <c r="D107"/>
  <c r="D105"/>
  <c r="D102"/>
  <c r="D103"/>
  <c r="D104"/>
  <c r="D106"/>
  <c r="D109"/>
  <c r="I104" i="46"/>
  <c r="I107"/>
  <c r="I103"/>
  <c r="I102"/>
  <c r="I106"/>
  <c r="I109"/>
  <c r="I105"/>
  <c r="L103" i="72"/>
  <c r="L109"/>
  <c r="L106"/>
  <c r="L102"/>
  <c r="L104"/>
  <c r="L107"/>
  <c r="L105"/>
  <c r="C19" i="77"/>
  <c r="C20" s="1"/>
  <c r="C26" s="1"/>
  <c r="C32"/>
  <c r="C5"/>
  <c r="C38" s="1"/>
  <c r="C32" i="15"/>
  <c r="C5"/>
  <c r="C38" s="1"/>
  <c r="Q67" i="77"/>
  <c r="Q58"/>
  <c r="C18" i="70"/>
  <c r="C23" s="1"/>
  <c r="C28" i="12"/>
  <c r="C26" s="1"/>
  <c r="C31" s="1"/>
  <c r="C30" s="1"/>
  <c r="C36" s="1"/>
  <c r="C28" i="43"/>
  <c r="C30" s="1"/>
  <c r="C32" s="1"/>
  <c r="B2" s="1"/>
  <c r="C18" i="69"/>
  <c r="C23" s="1"/>
  <c r="C21" i="44"/>
  <c r="C22" s="1"/>
  <c r="C28" s="1"/>
  <c r="C19" i="15"/>
  <c r="C20" s="1"/>
  <c r="C23" s="1"/>
  <c r="R27" i="6"/>
  <c r="R6" i="1"/>
  <c r="K67" i="40"/>
  <c r="L65"/>
  <c r="L70" i="39"/>
  <c r="K72"/>
  <c r="D113" i="71" l="1"/>
  <c r="J22" s="1"/>
  <c r="C21" s="1"/>
  <c r="H3" i="68" s="1"/>
  <c r="J3" s="1"/>
  <c r="B11" s="1"/>
  <c r="D113" i="72"/>
  <c r="J22" s="1"/>
  <c r="C21" s="1"/>
  <c r="D5" i="59"/>
  <c r="M20" i="46"/>
  <c r="M20" i="72"/>
  <c r="M20" i="71"/>
  <c r="C115" i="46"/>
  <c r="D113"/>
  <c r="J22" s="1"/>
  <c r="C21" s="1"/>
  <c r="C29" s="1"/>
  <c r="C23" i="77"/>
  <c r="C29" s="1"/>
  <c r="C37" i="12"/>
  <c r="B2"/>
  <c r="B4" i="43"/>
  <c r="B5"/>
  <c r="B3"/>
  <c r="R16" i="1"/>
  <c r="C25" i="44"/>
  <c r="C31" s="1"/>
  <c r="Q51" s="1"/>
  <c r="C26" i="15"/>
  <c r="C29" s="1"/>
  <c r="Q50" s="1"/>
  <c r="M65" i="40"/>
  <c r="L67"/>
  <c r="L72" i="39"/>
  <c r="M70"/>
  <c r="B3" i="12"/>
  <c r="K3" i="68" l="1"/>
  <c r="C29" i="71"/>
  <c r="E29" s="1"/>
  <c r="C26" s="1"/>
  <c r="B2" s="1"/>
  <c r="D4" s="1"/>
  <c r="E29" i="46"/>
  <c r="C26" s="1"/>
  <c r="B2" s="1"/>
  <c r="C30"/>
  <c r="E30" s="1"/>
  <c r="C27" s="1"/>
  <c r="H4" i="68"/>
  <c r="J4" s="1"/>
  <c r="C29" i="72"/>
  <c r="J59" i="77"/>
  <c r="J60" s="1"/>
  <c r="J19"/>
  <c r="J17" s="1"/>
  <c r="C36"/>
  <c r="C33"/>
  <c r="C31" s="1"/>
  <c r="C56"/>
  <c r="C13"/>
  <c r="J14"/>
  <c r="Q50"/>
  <c r="J16" i="44"/>
  <c r="J24" s="1"/>
  <c r="C15"/>
  <c r="Q72" s="1"/>
  <c r="C38"/>
  <c r="J21"/>
  <c r="J19" s="1"/>
  <c r="C35"/>
  <c r="C33" s="1"/>
  <c r="J19" i="15"/>
  <c r="J17" s="1"/>
  <c r="J59"/>
  <c r="J60" s="1"/>
  <c r="C36"/>
  <c r="C33"/>
  <c r="C31" s="1"/>
  <c r="C56"/>
  <c r="C60" s="1"/>
  <c r="C58" s="1"/>
  <c r="J14"/>
  <c r="J13" s="1"/>
  <c r="J23" s="1"/>
  <c r="C13"/>
  <c r="Q71" s="1"/>
  <c r="M67" i="40"/>
  <c r="H9" s="1"/>
  <c r="N65"/>
  <c r="N67" s="1"/>
  <c r="F9" s="1"/>
  <c r="M72" i="39"/>
  <c r="N70"/>
  <c r="N72" s="1"/>
  <c r="J9" s="1"/>
  <c r="B5" i="12"/>
  <c r="B4"/>
  <c r="B4" i="71" l="1"/>
  <c r="B3"/>
  <c r="C30"/>
  <c r="E30" s="1"/>
  <c r="C27" s="1"/>
  <c r="C30" i="72"/>
  <c r="E30" s="1"/>
  <c r="C27" s="1"/>
  <c r="E29"/>
  <c r="C26" s="1"/>
  <c r="B2" s="1"/>
  <c r="K4" i="68"/>
  <c r="B12"/>
  <c r="B3" i="46"/>
  <c r="D4"/>
  <c r="B4"/>
  <c r="Q71" i="77"/>
  <c r="C55"/>
  <c r="C64" s="1"/>
  <c r="C37"/>
  <c r="C30" s="1"/>
  <c r="C39" s="1"/>
  <c r="J35"/>
  <c r="J22"/>
  <c r="J13"/>
  <c r="J23" s="1"/>
  <c r="C63"/>
  <c r="C60"/>
  <c r="C58" s="1"/>
  <c r="Q49"/>
  <c r="L46"/>
  <c r="C39" i="44"/>
  <c r="C32" s="1"/>
  <c r="C42" s="1"/>
  <c r="Q71" s="1"/>
  <c r="Q70" s="1"/>
  <c r="J22" i="15"/>
  <c r="J16" s="1"/>
  <c r="J25" s="1"/>
  <c r="J15" i="44"/>
  <c r="J25" s="1"/>
  <c r="J18" s="1"/>
  <c r="J27" s="1"/>
  <c r="C43"/>
  <c r="Q49" i="15"/>
  <c r="J35"/>
  <c r="C37"/>
  <c r="C30" s="1"/>
  <c r="C39" s="1"/>
  <c r="C40" s="1"/>
  <c r="C10" i="70" s="1"/>
  <c r="C6" s="1"/>
  <c r="C63" i="15"/>
  <c r="C55"/>
  <c r="C64" s="1"/>
  <c r="W9" i="39"/>
  <c r="AC9"/>
  <c r="V49" s="1"/>
  <c r="I49" s="1"/>
  <c r="AA9" i="40"/>
  <c r="R44" s="1"/>
  <c r="S9"/>
  <c r="F9" i="39"/>
  <c r="H9"/>
  <c r="U9" i="40"/>
  <c r="AB9"/>
  <c r="T44" s="1"/>
  <c r="G44" s="1"/>
  <c r="G48" s="1"/>
  <c r="H48" s="1"/>
  <c r="J9"/>
  <c r="L51" i="77"/>
  <c r="C19" i="9"/>
  <c r="L43" l="1"/>
  <c r="B3" i="72"/>
  <c r="D4"/>
  <c r="B4"/>
  <c r="C57" i="77"/>
  <c r="C66" s="1"/>
  <c r="C67" s="1"/>
  <c r="C70" s="1"/>
  <c r="J16"/>
  <c r="J25" s="1"/>
  <c r="Q68"/>
  <c r="J39"/>
  <c r="J40" s="1"/>
  <c r="Q70"/>
  <c r="Q69" s="1"/>
  <c r="C40"/>
  <c r="C24" i="70"/>
  <c r="C29"/>
  <c r="C44" i="44"/>
  <c r="C45" s="1"/>
  <c r="B2" s="1"/>
  <c r="Q70" i="15"/>
  <c r="Q69" s="1"/>
  <c r="J39"/>
  <c r="J40" s="1"/>
  <c r="C57"/>
  <c r="C66" s="1"/>
  <c r="C67" s="1"/>
  <c r="C70" s="1"/>
  <c r="Q57"/>
  <c r="Q66"/>
  <c r="J42"/>
  <c r="J43" s="1"/>
  <c r="C43"/>
  <c r="C8" i="70" s="1"/>
  <c r="B8" i="68" s="1"/>
  <c r="I8" s="1"/>
  <c r="Q48" i="15"/>
  <c r="Q54" s="1"/>
  <c r="W9" i="40"/>
  <c r="AC9"/>
  <c r="V44" s="1"/>
  <c r="I44" s="1"/>
  <c r="AB9" i="39"/>
  <c r="T49" s="1"/>
  <c r="G49" s="1"/>
  <c r="U9"/>
  <c r="I53"/>
  <c r="J53" s="1"/>
  <c r="AA9"/>
  <c r="R49" s="1"/>
  <c r="S9"/>
  <c r="E44" i="40"/>
  <c r="R45"/>
  <c r="C20" i="9"/>
  <c r="L51" i="15"/>
  <c r="C21" i="9"/>
  <c r="C10" i="69" l="1"/>
  <c r="C6" s="1"/>
  <c r="C43" i="77"/>
  <c r="C8" i="69" s="1"/>
  <c r="B9" i="68" s="1"/>
  <c r="I9" s="1"/>
  <c r="Q48" i="77"/>
  <c r="Q54" s="1"/>
  <c r="Q57"/>
  <c r="Q63" s="1"/>
  <c r="Q66"/>
  <c r="Q76" s="1"/>
  <c r="J42"/>
  <c r="J43" s="1"/>
  <c r="B2"/>
  <c r="B3" s="1"/>
  <c r="C46"/>
  <c r="C35" i="70"/>
  <c r="C33" s="1"/>
  <c r="C28"/>
  <c r="C26" s="1"/>
  <c r="C31" s="1"/>
  <c r="C30" s="1"/>
  <c r="Q68" i="15"/>
  <c r="L57"/>
  <c r="L60" s="1"/>
  <c r="L52" i="44"/>
  <c r="Q69" s="1"/>
  <c r="C46" i="15"/>
  <c r="B3" i="44"/>
  <c r="B4"/>
  <c r="B5"/>
  <c r="E49" i="40"/>
  <c r="F49" s="1"/>
  <c r="E48"/>
  <c r="F48" s="1"/>
  <c r="C45"/>
  <c r="C44"/>
  <c r="G49"/>
  <c r="H49" s="1"/>
  <c r="I48"/>
  <c r="J48" s="1"/>
  <c r="I49"/>
  <c r="J49" s="1"/>
  <c r="E49" i="39"/>
  <c r="R50"/>
  <c r="G53"/>
  <c r="H53" s="1"/>
  <c r="G54"/>
  <c r="H54" s="1"/>
  <c r="C29" i="69" l="1"/>
  <c r="C24"/>
  <c r="C36" i="70"/>
  <c r="Q67" i="15"/>
  <c r="Q76" s="1"/>
  <c r="L46"/>
  <c r="B2" s="1"/>
  <c r="B3" s="1"/>
  <c r="Q58"/>
  <c r="Q63" s="1"/>
  <c r="L58" i="44"/>
  <c r="L61" s="1"/>
  <c r="Q68" s="1"/>
  <c r="Q77" s="1"/>
  <c r="C49" i="39"/>
  <c r="C50"/>
  <c r="B61" i="40"/>
  <c r="F61" s="1"/>
  <c r="B55"/>
  <c r="F55" s="1"/>
  <c r="B57"/>
  <c r="F57" s="1"/>
  <c r="B54"/>
  <c r="F54" s="1"/>
  <c r="B58"/>
  <c r="F58" s="1"/>
  <c r="B56"/>
  <c r="F56" s="1"/>
  <c r="B60"/>
  <c r="F60" s="1"/>
  <c r="B53"/>
  <c r="F53" s="1"/>
  <c r="B62"/>
  <c r="F62" s="1"/>
  <c r="B59"/>
  <c r="F59" s="1"/>
  <c r="F63"/>
  <c r="B2" s="1"/>
  <c r="E54" i="39"/>
  <c r="F54" s="1"/>
  <c r="E53"/>
  <c r="F53" s="1"/>
  <c r="I54"/>
  <c r="J54" s="1"/>
  <c r="C35" i="69" l="1"/>
  <c r="C33" s="1"/>
  <c r="C28"/>
  <c r="C26" s="1"/>
  <c r="C31" s="1"/>
  <c r="C30" s="1"/>
  <c r="B2" i="70"/>
  <c r="C37"/>
  <c r="J8" i="68" s="1"/>
  <c r="Q59" i="44"/>
  <c r="Q64" s="1"/>
  <c r="B4" i="40"/>
  <c r="B3"/>
  <c r="B5"/>
  <c r="B67" i="39"/>
  <c r="F67" s="1"/>
  <c r="B59"/>
  <c r="F59" s="1"/>
  <c r="B66"/>
  <c r="F66" s="1"/>
  <c r="B62"/>
  <c r="F62" s="1"/>
  <c r="B64"/>
  <c r="F64" s="1"/>
  <c r="B60"/>
  <c r="F60" s="1"/>
  <c r="F68"/>
  <c r="B2" s="1"/>
  <c r="B63"/>
  <c r="F63" s="1"/>
  <c r="B65"/>
  <c r="F65" s="1"/>
  <c r="B61"/>
  <c r="F61" s="1"/>
  <c r="B58"/>
  <c r="F58" s="1"/>
  <c r="B5" i="70"/>
  <c r="B3"/>
  <c r="C36" i="69" l="1"/>
  <c r="C37" s="1"/>
  <c r="J9" i="68" s="1"/>
  <c r="D11"/>
  <c r="J11" s="1"/>
  <c r="K8"/>
  <c r="B5" i="39"/>
  <c r="B4"/>
  <c r="B3"/>
  <c r="B4" i="70"/>
  <c r="B2" i="69" l="1"/>
  <c r="K9" i="68"/>
  <c r="D12"/>
  <c r="J12" s="1"/>
  <c r="B3" i="73"/>
  <c r="B8" s="1"/>
  <c r="K11" i="68"/>
  <c r="B3" i="69"/>
  <c r="D19" i="9"/>
  <c r="L44" l="1"/>
  <c r="D22"/>
  <c r="G19"/>
  <c r="K12" i="68"/>
  <c r="L12" s="1"/>
  <c r="I20" s="1"/>
  <c r="I12"/>
  <c r="I13" s="1"/>
  <c r="B4" i="73"/>
  <c r="B5" i="69"/>
  <c r="D20" i="9"/>
  <c r="B4" i="69"/>
  <c r="I14" i="68" l="1"/>
  <c r="I16" s="1"/>
  <c r="G20" i="9"/>
  <c r="C32"/>
  <c r="G22"/>
  <c r="N43"/>
  <c r="B9" i="73"/>
  <c r="D9" s="1"/>
  <c r="D10" s="1"/>
  <c r="D4"/>
  <c r="D5" s="1"/>
  <c r="D21" i="9"/>
  <c r="G21" l="1"/>
  <c r="C42"/>
  <c r="O43"/>
  <c r="C34"/>
  <c r="C33"/>
  <c r="O38"/>
  <c r="C35"/>
  <c r="F42" s="1"/>
  <c r="N38" l="1"/>
  <c r="K28" s="1"/>
  <c r="D42"/>
  <c r="Q5" i="54" s="1"/>
  <c r="B47" i="63" s="1"/>
  <c r="K25" i="9"/>
  <c r="K26"/>
  <c r="E42"/>
  <c r="P5" i="54" s="1"/>
  <c r="B46" i="63" s="1"/>
  <c r="M38" i="9"/>
  <c r="K27" s="1"/>
  <c r="R5" i="54"/>
  <c r="B48" i="63" s="1"/>
  <c r="D14" i="66"/>
  <c r="D63" i="9"/>
  <c r="N68"/>
  <c r="B5" i="66" l="1"/>
  <c r="E14"/>
  <c r="F14"/>
  <c r="D73" i="9"/>
  <c r="N73" s="1"/>
  <c r="C103"/>
  <c r="C111"/>
  <c r="C104" s="1"/>
  <c r="D70"/>
  <c r="C96"/>
  <c r="C91" s="1"/>
  <c r="C90"/>
  <c r="C82"/>
  <c r="C81" s="1"/>
  <c r="C85" s="1"/>
  <c r="C86" s="1"/>
  <c r="D72" s="1"/>
  <c r="D71"/>
  <c r="D66" s="1"/>
  <c r="N72" s="1"/>
  <c r="C97" l="1"/>
  <c r="C113"/>
  <c r="C5" i="66"/>
  <c r="D5"/>
  <c r="C114" i="9" l="1"/>
  <c r="E114" s="1"/>
  <c r="E115" s="1"/>
  <c r="C98"/>
  <c r="E98" s="1"/>
  <c r="E99" s="1"/>
  <c r="C99" l="1"/>
  <c r="C115"/>
  <c r="D76" s="1"/>
  <c r="D74" s="1"/>
  <c r="N74" s="1"/>
  <c r="O77" s="1"/>
  <c r="O78" s="1"/>
  <c r="O79" l="1"/>
  <c r="O80" s="1"/>
  <c r="Q77"/>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<sst xmlns="http://schemas.openxmlformats.org/spreadsheetml/2006/main" count="8359" uniqueCount="3177">
  <si>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</si>
  <si>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</si>
  <si>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</si>
  <si>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</si>
  <si>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</si>
  <si>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</si>
  <si>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</si>
  <si>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</si>
  <si>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</si>
  <si>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</si>
  <si>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</si>
  <si>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</si>
  <si>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</si>
  <si>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</si>
  <si>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</si>
  <si>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</si>
  <si>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</si>
  <si>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</si>
  <si>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</si>
  <si>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</si>
  <si>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</si>
  <si>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</si>
  <si>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</si>
  <si>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</si>
  <si>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</si>
  <si>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</si>
  <si>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</si>
  <si>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</si>
  <si>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</si>
  <si>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</si>
  <si>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</si>
  <si>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</si>
  <si>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</si>
  <si>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</si>
  <si>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</si>
  <si>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</si>
  <si>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</si>
  <si>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</si>
  <si>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</si>
  <si>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</si>
  <si>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</si>
  <si>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</si>
  <si>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</si>
  <si>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</si>
  <si>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</si>
  <si>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</si>
  <si>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</si>
  <si>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</si>
  <si>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</si>
  <si>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</si>
  <si>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</si>
  <si>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</si>
  <si>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</si>
  <si>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</si>
  <si>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</si>
  <si>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</si>
  <si>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</si>
  <si>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</si>
  <si>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</si>
  <si>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</si>
  <si>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</si>
  <si>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</si>
  <si>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</si>
  <si>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</si>
  <si>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</si>
  <si>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</si>
  <si>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</si>
  <si>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</si>
  <si>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</si>
  <si>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</si>
  <si>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</si>
  <si>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</si>
  <si>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</si>
  <si>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</si>
  <si>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</si>
  <si>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</si>
  <si>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</si>
  <si>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</si>
  <si>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</si>
  <si>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</si>
  <si>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</si>
  <si>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</si>
  <si>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</si>
  <si>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</si>
  <si>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</si>
  <si>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</si>
  <si>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</si>
  <si>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</si>
  <si>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</si>
  <si>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</si>
  <si>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</si>
  <si>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</si>
  <si>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</si>
  <si>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</si>
  <si>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</si>
  <si>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</si>
  <si>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</si>
  <si>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</si>
  <si>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</si>
  <si>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</si>
  <si>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</si>
  <si>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</si>
  <si>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</si>
  <si>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</si>
  <si>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</si>
  <si>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</si>
  <si>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</si>
  <si>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</si>
  <si>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</si>
  <si>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</si>
  <si>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</si>
  <si>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</si>
  <si>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</si>
  <si>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</si>
  <si>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</si>
  <si>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</si>
  <si>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</si>
  <si>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</si>
  <si>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</si>
  <si>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</si>
  <si>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</si>
  <si>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</si>
  <si>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</si>
  <si>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</si>
  <si>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</si>
  <si>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</si>
  <si>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</si>
  <si>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</si>
  <si>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</si>
  <si>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</si>
  <si>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</si>
  <si>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</si>
  <si>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</si>
  <si>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</si>
  <si>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</si>
  <si>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</si>
  <si>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</si>
  <si>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</si>
  <si>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</si>
  <si>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</si>
  <si>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</si>
  <si>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</si>
  <si>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</si>
  <si>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</si>
  <si>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</si>
  <si>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</si>
  <si>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</si>
  <si>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</si>
  <si>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</si>
  <si>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</si>
  <si>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</si>
  <si>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</si>
  <si>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</si>
  <si>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</si>
  <si>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</si>
  <si>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</si>
  <si>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</si>
  <si>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</si>
  <si>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</si>
  <si>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</si>
  <si>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</si>
  <si>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</si>
  <si>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</si>
  <si>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</si>
  <si>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</si>
  <si>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</si>
  <si>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</si>
  <si>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</si>
  <si>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</si>
  <si>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</si>
  <si>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</si>
  <si>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</si>
  <si>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</si>
  <si>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</si>
  <si>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</si>
  <si>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</si>
  <si>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</si>
  <si>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</si>
  <si>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</si>
  <si>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</si>
  <si>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</si>
  <si>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</si>
  <si>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</si>
  <si>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</si>
  <si>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</si>
  <si>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</si>
  <si>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</si>
  <si>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</si>
  <si>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</si>
  <si>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</si>
  <si>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</si>
  <si>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</si>
  <si>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</si>
  <si>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</si>
  <si>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</si>
  <si>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</si>
  <si>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</si>
  <si>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</si>
  <si>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</si>
  <si>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</si>
  <si>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</si>
  <si>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</si>
  <si>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</si>
  <si>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</si>
  <si>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</si>
  <si>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</si>
  <si>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</si>
  <si>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</si>
  <si>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</si>
  <si>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</si>
  <si>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</si>
  <si>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</si>
  <si>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</si>
  <si>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</si>
  <si>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</si>
  <si>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</si>
  <si>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</si>
  <si>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</si>
  <si>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</si>
  <si>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</si>
  <si>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</si>
  <si>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</si>
  <si>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</si>
  <si>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</si>
  <si>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</si>
  <si>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</si>
  <si>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</si>
  <si>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</si>
  <si>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</si>
  <si>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</si>
  <si>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</si>
  <si>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</si>
  <si>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</si>
  <si>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</si>
  <si>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</si>
  <si>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</si>
  <si>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</si>
  <si>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</si>
  <si>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</si>
  <si>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</si>
  <si>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</si>
  <si>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</si>
  <si>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</si>
  <si>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</si>
  <si>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</si>
  <si>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</si>
  <si>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</si>
  <si>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</si>
  <si>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</si>
  <si>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</si>
  <si>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</si>
  <si>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</si>
  <si>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</si>
  <si>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</si>
  <si>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</si>
  <si>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</si>
  <si>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</si>
  <si>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</si>
  <si>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</si>
  <si>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</si>
  <si>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</si>
  <si>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</si>
  <si>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</si>
  <si>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</si>
  <si>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</si>
  <si>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</si>
  <si>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</si>
  <si>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</si>
  <si>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</si>
  <si>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</si>
  <si>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</si>
  <si>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</si>
  <si>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</si>
  <si>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</si>
  <si>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</si>
  <si>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</si>
  <si>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</si>
  <si>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</si>
  <si>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</si>
  <si>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</si>
  <si>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</si>
  <si>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</si>
  <si>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</si>
  <si>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</si>
  <si>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</si>
  <si>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</si>
  <si>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</si>
  <si>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</si>
  <si>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</si>
  <si>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</si>
  <si>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</si>
  <si>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</si>
  <si>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</si>
  <si>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</si>
  <si>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</si>
  <si>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</si>
  <si>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</si>
  <si>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</si>
  <si>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</si>
  <si>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</si>
  <si>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</si>
  <si>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</si>
  <si>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</si>
  <si>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</si>
  <si>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</si>
  <si>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</si>
  <si>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</si>
  <si>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</si>
  <si>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</si>
  <si>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</si>
  <si>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</si>
  <si>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</si>
  <si>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</si>
  <si>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</si>
  <si>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</si>
  <si>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</si>
  <si>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</si>
  <si>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</si>
  <si>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</si>
  <si>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</si>
  <si>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</si>
  <si>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</si>
  <si>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</si>
  <si>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</si>
  <si>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</si>
  <si>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</si>
  <si>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</si>
  <si>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</si>
  <si>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</si>
  <si>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</si>
  <si>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</si>
  <si>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</si>
  <si>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</si>
  <si>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</si>
  <si>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</si>
  <si>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</si>
  <si>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</si>
  <si>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</si>
  <si>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</si>
  <si>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</si>
  <si>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</si>
  <si>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</si>
  <si>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</si>
  <si>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</si>
  <si>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</si>
  <si>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</si>
  <si>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</si>
  <si>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</si>
  <si>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</si>
  <si>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</si>
  <si>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</si>
  <si>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</si>
  <si>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</si>
  <si>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</si>
  <si>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</si>
  <si>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</si>
  <si>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</si>
  <si>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</si>
  <si>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</si>
  <si>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</si>
  <si>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</si>
  <si>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</si>
  <si>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</si>
  <si>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</si>
  <si>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</si>
  <si>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</si>
  <si>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</si>
  <si>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</si>
  <si>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</si>
  <si>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</si>
  <si>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</si>
  <si>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</si>
  <si>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</si>
  <si>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</si>
  <si>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</si>
  <si>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</si>
  <si>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</si>
  <si>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</si>
  <si>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</si>
  <si>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</si>
  <si>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</si>
  <si>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</si>
  <si>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</si>
  <si>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</si>
  <si>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</si>
  <si>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</si>
  <si>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</si>
  <si>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</si>
  <si>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</si>
  <si>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</si>
  <si>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</si>
  <si>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</si>
  <si>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</si>
  <si>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</si>
  <si>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</si>
  <si>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</si>
  <si>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</si>
  <si>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</si>
  <si>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</si>
  <si>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</si>
  <si>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</si>
  <si>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</si>
  <si>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</si>
  <si>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</si>
  <si>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</si>
  <si>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</si>
  <si>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</si>
  <si>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</si>
  <si>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</si>
  <si>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</si>
  <si>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</si>
  <si>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</si>
  <si>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</si>
  <si>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</si>
  <si>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</si>
  <si>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</si>
  <si>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</si>
  <si>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</si>
  <si>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</si>
  <si>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</si>
  <si>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</si>
  <si>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</si>
  <si>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</si>
  <si>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</si>
  <si>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</si>
  <si>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</si>
  <si>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</si>
  <si>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</si>
  <si>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</si>
  <si>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</si>
  <si>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</si>
  <si>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</si>
  <si>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</si>
  <si>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</si>
  <si>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</si>
  <si>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</si>
  <si>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</si>
  <si>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</si>
  <si>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</si>
  <si>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</si>
  <si>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</si>
  <si>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</si>
  <si>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</si>
  <si>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</si>
  <si>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</si>
  <si>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</si>
  <si>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</si>
  <si>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</si>
  <si>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</si>
  <si>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</si>
  <si>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</si>
  <si>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</si>
  <si>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</si>
  <si>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</si>
  <si>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</si>
  <si>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</si>
  <si>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</si>
  <si>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</si>
  <si>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</si>
  <si>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</si>
  <si>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</si>
  <si>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</si>
  <si>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</si>
  <si>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</si>
  <si>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</si>
  <si>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</si>
  <si>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</si>
  <si>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</si>
  <si>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</si>
  <si>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</si>
  <si>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</si>
  <si>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</si>
  <si>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</si>
  <si>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</si>
  <si>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</si>
  <si>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</si>
  <si>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</si>
  <si>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</si>
  <si>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</si>
  <si>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</si>
  <si>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</si>
  <si>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</si>
  <si>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</si>
  <si>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</si>
  <si>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</si>
  <si>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</si>
  <si>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</si>
  <si>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</si>
  <si>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</si>
  <si>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</si>
  <si>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</si>
  <si>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</si>
  <si>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</si>
  <si>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</si>
  <si>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</si>
  <si>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</si>
  <si>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</si>
  <si>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</si>
  <si>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</si>
  <si>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</si>
  <si>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</si>
  <si>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</si>
  <si>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</si>
  <si>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</si>
  <si>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</si>
  <si>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</si>
  <si>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</si>
  <si>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</si>
  <si>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</si>
  <si>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</si>
  <si>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</si>
  <si>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</si>
  <si>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</si>
  <si>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</si>
  <si>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</si>
  <si>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</si>
  <si>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</si>
  <si>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</si>
  <si>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</si>
  <si>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</si>
  <si>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</si>
  <si>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</si>
  <si>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</si>
  <si>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</si>
  <si>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</si>
  <si>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</si>
  <si>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</si>
  <si>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</si>
  <si>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</si>
  <si>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</si>
  <si>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</si>
  <si>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</si>
  <si>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</si>
  <si>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</si>
  <si>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</si>
  <si>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</si>
  <si>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</si>
  <si>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</si>
  <si>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</si>
  <si>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</si>
  <si>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</si>
  <si>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</si>
  <si>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</si>
  <si>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</si>
  <si>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</si>
  <si>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</si>
  <si>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</si>
  <si>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</si>
  <si>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</si>
  <si>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</si>
  <si>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</si>
  <si>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</si>
  <si>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</si>
  <si>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</si>
  <si>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</si>
  <si>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</si>
  <si>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</si>
  <si>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</si>
  <si>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</si>
  <si>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</si>
  <si>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</si>
  <si>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</si>
  <si>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</si>
  <si>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</si>
  <si>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</si>
  <si>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</si>
  <si>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</si>
  <si>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</si>
  <si>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</si>
  <si>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</si>
  <si>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</si>
  <si>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</si>
  <si>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</si>
  <si>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</si>
  <si>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</si>
  <si>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</si>
  <si>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</si>
  <si>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</si>
  <si>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</si>
  <si>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</si>
  <si>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</si>
  <si>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</si>
  <si>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</si>
  <si>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</si>
  <si>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</si>
  <si>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</si>
  <si>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</si>
  <si>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</si>
  <si>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</si>
  <si>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</si>
  <si>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</si>
  <si>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</si>
  <si>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</si>
  <si>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</si>
  <si>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</si>
  <si>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</si>
  <si>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</si>
  <si>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</si>
  <si>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</si>
  <si>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</si>
  <si>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</si>
  <si>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</si>
  <si>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</si>
  <si>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</si>
  <si>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</si>
  <si>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</si>
  <si>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</si>
  <si>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</si>
  <si>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</si>
  <si>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</si>
  <si>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</si>
  <si>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</si>
  <si>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</si>
  <si>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</si>
  <si>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</si>
  <si>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</si>
  <si>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</si>
  <si>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</si>
  <si>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</si>
  <si>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</si>
  <si>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</si>
  <si>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</si>
  <si>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</si>
  <si>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</si>
  <si>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</si>
  <si>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</si>
  <si>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</si>
  <si>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</si>
  <si>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</si>
  <si>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</si>
  <si>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</si>
  <si>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</si>
  <si>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</si>
  <si>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</si>
  <si>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</si>
  <si>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</si>
  <si>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</si>
  <si>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</si>
  <si>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</si>
  <si>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</si>
  <si>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</si>
  <si>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</si>
  <si>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</si>
  <si>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</si>
  <si>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</si>
  <si>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</si>
  <si>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</si>
  <si>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</si>
  <si>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</si>
  <si>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</si>
  <si>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</si>
  <si>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</si>
  <si>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</si>
  <si>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</si>
  <si>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</si>
  <si>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</si>
  <si>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</si>
  <si>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</si>
  <si>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</si>
  <si>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</si>
  <si>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</si>
  <si>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</si>
  <si>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</si>
  <si>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</si>
  <si>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</si>
  <si>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</si>
  <si>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</si>
  <si>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</si>
  <si>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</si>
  <si>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</si>
  <si>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</si>
  <si>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</si>
  <si>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</si>
  <si>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</si>
  <si>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</si>
  <si>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</si>
  <si>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</si>
  <si>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</si>
  <si>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</si>
  <si>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</si>
  <si>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</si>
  <si>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</si>
  <si>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</si>
  <si>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</si>
  <si>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</si>
  <si>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</si>
  <si>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</si>
  <si>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</si>
  <si>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</si>
  <si>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</si>
  <si>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</si>
  <si>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</si>
  <si>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</si>
  <si>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</si>
  <si>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</si>
  <si>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</si>
  <si>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</si>
  <si>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</si>
  <si>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</si>
  <si>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</si>
  <si>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</si>
  <si>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</si>
  <si>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</si>
  <si>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</si>
  <si>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</si>
  <si>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</si>
  <si>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</si>
  <si>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</si>
  <si>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</si>
  <si>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</si>
  <si>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</si>
  <si>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</si>
  <si>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</si>
  <si>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</si>
  <si>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</si>
  <si>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</si>
  <si>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</si>
  <si>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</si>
  <si>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</si>
  <si>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</si>
  <si>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</si>
  <si>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</si>
  <si>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</si>
  <si>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</si>
  <si>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</si>
  <si>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</si>
  <si>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</si>
  <si>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</si>
  <si>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</si>
  <si>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</si>
  <si>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</si>
  <si>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</si>
  <si>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</si>
  <si>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</si>
  <si>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</si>
  <si>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</si>
  <si>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</si>
  <si>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</si>
  <si>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</si>
  <si>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</si>
  <si>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</si>
  <si>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</si>
  <si>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</si>
  <si>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</si>
  <si>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</si>
  <si>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</si>
  <si>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</si>
  <si>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</si>
  <si>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</si>
  <si>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</si>
  <si>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</si>
  <si>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</si>
  <si>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</si>
  <si>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</si>
  <si>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</si>
  <si>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</si>
  <si>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</si>
  <si>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</si>
  <si>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</si>
  <si>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</si>
  <si>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</si>
  <si>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</si>
  <si>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</si>
  <si>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</si>
  <si>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</si>
  <si>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</si>
  <si>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</si>
  <si>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</si>
  <si>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</si>
  <si>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</si>
  <si>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</si>
  <si>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</si>
  <si>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</si>
  <si>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</si>
  <si>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</si>
  <si>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</si>
  <si>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</si>
  <si>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</si>
  <si>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</si>
  <si>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</si>
  <si>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</si>
  <si>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</si>
  <si>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</si>
  <si>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</si>
  <si>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</si>
  <si>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</si>
  <si>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</si>
  <si>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</si>
  <si>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</si>
  <si>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</si>
  <si>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</si>
  <si>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</si>
  <si>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</si>
  <si>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</si>
  <si>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</si>
  <si>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</si>
  <si>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</si>
  <si>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</si>
  <si>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</si>
  <si>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</si>
  <si>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</si>
  <si>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</si>
  <si>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</si>
  <si>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</si>
  <si>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</si>
  <si>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</si>
  <si>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</si>
  <si>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</si>
  <si>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</si>
  <si>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</si>
  <si>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</si>
  <si>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</si>
  <si>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</si>
  <si>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</si>
  <si>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</si>
  <si>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</si>
  <si>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</si>
  <si>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</si>
  <si>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</si>
  <si>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</si>
  <si>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</si>
  <si>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</si>
  <si>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</si>
  <si>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</si>
  <si>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</si>
  <si>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</si>
  <si>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</si>
  <si>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</si>
  <si>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</si>
  <si>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</si>
  <si>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</si>
  <si>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</si>
  <si>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</si>
  <si>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</si>
  <si>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</si>
  <si>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</si>
  <si>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</si>
  <si>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</si>
  <si>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</si>
  <si>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</si>
  <si>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</si>
  <si>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</si>
  <si>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</si>
  <si>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</si>
  <si>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</si>
  <si>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</si>
  <si>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</si>
  <si>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</si>
  <si>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</si>
  <si>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</si>
  <si>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</si>
  <si>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</si>
  <si>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</si>
  <si>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</si>
  <si>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</si>
  <si>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</si>
  <si>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</si>
  <si>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</si>
  <si>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</si>
  <si>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</si>
  <si>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</si>
  <si>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</si>
  <si>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</si>
  <si>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</si>
  <si>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</si>
  <si>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</si>
  <si>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</si>
  <si>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</si>
  <si>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</si>
  <si>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</si>
  <si>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</si>
  <si>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</si>
  <si>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</si>
  <si>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</si>
  <si>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</si>
  <si>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</si>
  <si>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</si>
  <si>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</si>
  <si>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</si>
  <si>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</si>
  <si>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</si>
  <si>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</si>
  <si>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</si>
  <si>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</si>
  <si>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</si>
  <si>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</si>
  <si>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</si>
  <si>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</si>
  <si>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</si>
  <si>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</si>
  <si>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</si>
  <si>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</si>
  <si>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</si>
  <si>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</si>
  <si>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</si>
  <si>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</si>
  <si>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</si>
  <si>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</si>
  <si>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</si>
  <si>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</si>
  <si>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</si>
  <si>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</si>
  <si>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</si>
  <si>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</si>
  <si>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</si>
  <si>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</si>
  <si>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</si>
  <si>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</si>
  <si>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</si>
  <si>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</si>
  <si>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</si>
  <si>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</si>
  <si>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</si>
  <si>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</si>
  <si>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</si>
  <si>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</si>
  <si>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</si>
  <si>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</si>
  <si>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</si>
  <si>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</si>
  <si>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</si>
  <si>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</si>
  <si>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</si>
  <si>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</si>
  <si>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</si>
  <si>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</si>
  <si>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</si>
  <si>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</si>
  <si>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</si>
  <si>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</si>
  <si>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</si>
  <si>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</si>
  <si>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</si>
  <si>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</si>
  <si>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</si>
  <si>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</si>
  <si>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</si>
  <si>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</si>
  <si>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</si>
  <si>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</si>
  <si>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</si>
  <si>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</si>
  <si>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</si>
  <si>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</si>
  <si>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</si>
  <si>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</si>
  <si>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</si>
  <si>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</si>
  <si>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</si>
  <si>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</si>
  <si>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</si>
  <si>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</si>
  <si>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</si>
  <si>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</si>
  <si>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</si>
  <si>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</si>
  <si>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</si>
  <si>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</si>
  <si>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</si>
  <si>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</si>
  <si>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</si>
  <si>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</si>
  <si>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</si>
  <si>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</si>
  <si>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</si>
  <si>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</si>
  <si>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</si>
  <si>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</si>
  <si>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</si>
  <si>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</si>
  <si>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</si>
  <si>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</si>
  <si>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</si>
  <si>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</si>
  <si>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</si>
  <si>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</si>
  <si>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</si>
  <si>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</si>
  <si>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</si>
  <si>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</si>
  <si>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</si>
  <si>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</si>
  <si>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</si>
  <si>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</si>
  <si>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</si>
  <si>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</si>
  <si>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</si>
  <si>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</si>
  <si>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</si>
  <si>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</si>
  <si>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</si>
  <si>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</si>
  <si>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</si>
  <si>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</si>
  <si>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</si>
  <si>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</si>
  <si>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</si>
  <si>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</si>
  <si>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</si>
  <si>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</si>
  <si>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</si>
  <si>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</si>
  <si>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</si>
  <si>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</si>
  <si>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</si>
  <si>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</si>
  <si>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</si>
  <si>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</si>
  <si>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</si>
  <si>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</si>
  <si>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</si>
  <si>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</si>
  <si>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</si>
  <si>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</si>
  <si>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</si>
  <si>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</si>
  <si>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</si>
  <si>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</si>
  <si>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</si>
  <si>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</si>
  <si>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</si>
  <si>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</si>
  <si>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</si>
  <si>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</si>
  <si>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</si>
  <si>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</si>
  <si>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</si>
  <si>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</si>
  <si>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</si>
  <si>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</si>
  <si>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</si>
  <si>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</si>
  <si>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</si>
  <si>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</si>
  <si>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</si>
  <si>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</si>
  <si>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</si>
  <si>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</si>
  <si>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</si>
  <si>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</si>
  <si>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</si>
  <si>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</si>
  <si>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</si>
  <si>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</si>
  <si>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</si>
  <si>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</si>
  <si>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</si>
  <si>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</si>
  <si>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</si>
  <si>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</si>
  <si>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</si>
  <si>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</si>
  <si>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</si>
  <si>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</si>
  <si>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</si>
  <si>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</si>
  <si>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</si>
  <si>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</si>
  <si>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</si>
  <si>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</si>
  <si>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</si>
  <si>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</si>
  <si>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</si>
  <si>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</si>
  <si>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</si>
  <si>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</si>
  <si>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</si>
  <si>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</si>
  <si>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</si>
  <si>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</si>
  <si>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</si>
  <si>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</si>
  <si>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</si>
  <si>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</si>
  <si>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</si>
  <si>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</si>
  <si>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</si>
  <si>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</si>
  <si>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</si>
  <si>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</si>
  <si>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</si>
  <si>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</si>
  <si>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</si>
  <si>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</si>
  <si>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</si>
  <si>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</si>
  <si>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</si>
  <si>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</si>
  <si>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</si>
  <si>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</si>
  <si>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</si>
  <si>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</si>
  <si>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</si>
  <si>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</si>
  <si>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</si>
  <si>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</si>
  <si>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</si>
  <si>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</si>
  <si>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</si>
  <si>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</si>
  <si>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</si>
  <si>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</si>
  <si>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</si>
  <si>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</si>
  <si>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</si>
  <si>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</si>
  <si>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</si>
  <si>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</si>
  <si>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</si>
  <si>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</si>
  <si>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</si>
  <si>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</si>
  <si>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</si>
  <si>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</si>
  <si>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</si>
  <si>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</si>
  <si>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</si>
  <si>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</si>
  <si>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</si>
  <si>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</si>
  <si>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</si>
  <si>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</si>
  <si>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</si>
  <si>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</si>
  <si>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</si>
  <si>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</si>
  <si>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</si>
  <si>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</si>
  <si>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</si>
  <si>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</si>
  <si>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</si>
  <si>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</si>
  <si>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</si>
  <si>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</si>
  <si>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</si>
  <si>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</si>
  <si>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</si>
  <si>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</si>
  <si>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</si>
  <si>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</si>
  <si>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</si>
  <si>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</si>
  <si>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</si>
  <si>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</si>
  <si>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</si>
  <si>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</si>
  <si>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</si>
  <si>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</si>
  <si>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</si>
  <si>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</si>
  <si>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</si>
  <si>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</si>
  <si>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</si>
  <si>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</si>
  <si>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</si>
  <si>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</si>
  <si>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</si>
  <si>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</si>
  <si>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</si>
  <si>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</si>
  <si>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</si>
  <si>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</si>
  <si>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</si>
  <si>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</si>
  <si>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</si>
  <si>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</si>
  <si>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</si>
  <si>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</si>
  <si>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</si>
  <si>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</si>
  <si>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</si>
  <si>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</si>
  <si>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</si>
  <si>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</si>
  <si>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</si>
  <si>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</si>
  <si>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</si>
  <si>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</si>
  <si>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</si>
  <si>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</si>
  <si>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</si>
  <si>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</si>
  <si>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</si>
  <si>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</si>
  <si>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</si>
  <si>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</si>
  <si>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</si>
  <si>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</si>
  <si>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</si>
  <si>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</si>
  <si>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</si>
  <si>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</si>
  <si>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</si>
  <si>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</si>
  <si>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</si>
  <si>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</si>
  <si>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</si>
  <si>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</si>
  <si>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</si>
  <si>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</si>
  <si>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</si>
  <si>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</si>
  <si>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</si>
  <si>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</si>
  <si>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</si>
  <si>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</si>
  <si>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</si>
  <si>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</si>
  <si>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</si>
  <si>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</si>
  <si>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</si>
  <si>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</si>
  <si>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</si>
  <si>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</si>
  <si>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</si>
  <si>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</si>
  <si>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</si>
  <si>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</si>
  <si>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</si>
  <si>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</si>
  <si>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</si>
  <si>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</si>
  <si>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</si>
  <si>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</si>
  <si>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</si>
  <si>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</si>
  <si>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</si>
  <si>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</si>
  <si>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</si>
  <si>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</si>
  <si>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</si>
  <si>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</si>
  <si>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</si>
  <si>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</si>
  <si>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</si>
  <si>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</si>
  <si>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</si>
  <si>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</si>
  <si>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</si>
  <si>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</si>
  <si>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</si>
  <si>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</si>
  <si>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</si>
  <si>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</si>
  <si>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</si>
  <si>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</si>
  <si>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</si>
  <si>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</si>
  <si>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</si>
  <si>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</si>
  <si>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</si>
  <si>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</si>
  <si>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</si>
  <si>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</si>
  <si>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</si>
  <si>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</si>
  <si>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</si>
  <si>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</si>
  <si>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</si>
  <si>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</si>
  <si>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</si>
  <si>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</si>
  <si>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</si>
  <si>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</si>
  <si>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</si>
  <si>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</si>
  <si>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</si>
  <si>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</si>
  <si>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</si>
  <si>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</si>
  <si>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</si>
  <si>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</si>
  <si>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</si>
  <si>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</si>
  <si>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</si>
  <si>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</si>
  <si>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</si>
  <si>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</si>
  <si>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</si>
  <si>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</si>
  <si>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</si>
  <si>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</si>
  <si>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</si>
  <si>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</si>
  <si>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</si>
  <si>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</si>
  <si>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</si>
  <si>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</si>
  <si>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</si>
  <si>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</si>
  <si>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</si>
  <si>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</si>
  <si>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</si>
  <si>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</si>
  <si>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</si>
  <si>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</si>
  <si>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</si>
  <si>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</si>
  <si>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</si>
  <si>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</si>
  <si>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</si>
  <si>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</si>
  <si>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</si>
  <si>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</si>
  <si>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</si>
  <si>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</si>
  <si>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</si>
  <si>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</si>
  <si>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</si>
  <si>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</si>
  <si>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</si>
  <si>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</si>
  <si>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</si>
  <si>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</si>
  <si>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</si>
  <si>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</si>
  <si>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</si>
  <si>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</si>
  <si>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</si>
  <si>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</si>
  <si>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</si>
  <si>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</si>
  <si>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</si>
  <si>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</si>
  <si>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</si>
  <si>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</si>
  <si>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</si>
  <si>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</si>
  <si>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</si>
  <si>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</si>
  <si>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</si>
  <si>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</si>
  <si>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</si>
  <si>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</si>
  <si>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</si>
  <si>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</si>
  <si>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</si>
  <si>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</si>
  <si>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</si>
  <si>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</si>
  <si>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</si>
  <si>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</si>
  <si>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</si>
  <si>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</si>
  <si>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</si>
  <si>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</si>
  <si>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</si>
  <si>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</si>
  <si>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</si>
  <si>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</si>
  <si>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</si>
  <si>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</si>
  <si>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</si>
  <si>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</si>
  <si>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</si>
  <si>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</si>
  <si>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</si>
  <si>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</si>
  <si>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</si>
  <si>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</si>
  <si>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</si>
  <si>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</si>
  <si>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</si>
  <si>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</si>
  <si>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</si>
  <si>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</si>
  <si>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</si>
  <si>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</si>
  <si>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</si>
  <si>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</si>
  <si>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</si>
  <si>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</si>
  <si>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</si>
  <si>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</si>
  <si>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</si>
  <si>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</si>
  <si>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</si>
  <si>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</si>
  <si>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</si>
  <si>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</si>
  <si>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</si>
  <si>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</si>
  <si>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</si>
  <si>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</si>
  <si>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</si>
  <si>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</si>
  <si>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</si>
  <si>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</si>
  <si>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</si>
  <si>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</si>
  <si>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</si>
  <si>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</si>
  <si>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</si>
  <si>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</si>
  <si>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</si>
  <si>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</si>
  <si>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</si>
  <si>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</si>
  <si>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</si>
  <si>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</si>
  <si>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</si>
  <si>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</si>
  <si>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</si>
  <si>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</si>
  <si>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</si>
  <si>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</si>
  <si>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</si>
  <si>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</si>
  <si>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</si>
  <si>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</si>
  <si>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</si>
  <si>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</si>
  <si>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</si>
  <si>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</si>
  <si>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</si>
  <si>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</si>
  <si>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</si>
  <si>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</si>
  <si>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</si>
  <si>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</si>
  <si>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</si>
  <si>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</si>
  <si>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</si>
  <si>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</si>
  <si>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</si>
  <si>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</si>
  <si>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</si>
  <si>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</si>
  <si>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</si>
  <si>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</si>
  <si>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</si>
  <si>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</si>
  <si>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</si>
  <si>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</si>
  <si>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</si>
  <si>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</si>
  <si>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</si>
  <si>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</si>
  <si>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</si>
  <si>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</si>
  <si>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</si>
  <si>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</si>
  <si>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</si>
  <si>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</si>
  <si>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</si>
  <si>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</si>
  <si>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</si>
  <si>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</si>
  <si>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</si>
  <si>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</si>
  <si>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</si>
  <si>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</si>
  <si>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</si>
  <si>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</si>
  <si>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</si>
  <si>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</si>
  <si>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</si>
  <si>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</si>
  <si>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</si>
  <si>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</si>
  <si>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</si>
  <si>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</si>
  <si>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</si>
  <si>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</si>
  <si>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</si>
  <si>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</si>
  <si>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</si>
  <si>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</si>
  <si>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</si>
  <si>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</si>
  <si>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</si>
  <si>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</si>
  <si>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</si>
  <si>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</si>
  <si>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</si>
  <si>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</si>
  <si>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</si>
  <si>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</si>
  <si>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</si>
  <si>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</si>
  <si>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</si>
  <si>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</si>
  <si>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</si>
  <si>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</si>
  <si>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</si>
  <si>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</si>
  <si>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</si>
  <si>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</si>
  <si>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</si>
  <si>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</si>
  <si>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</si>
  <si>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</si>
  <si>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</si>
  <si>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</si>
  <si>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</si>
  <si>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</si>
  <si>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</si>
  <si>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</si>
  <si>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</si>
  <si>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</si>
  <si>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</si>
  <si>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</si>
  <si>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</si>
  <si>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</si>
  <si>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</si>
  <si>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</si>
  <si>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</si>
  <si>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</si>
  <si>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</si>
  <si>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</si>
  <si>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</si>
  <si>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</si>
  <si>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</si>
  <si>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</si>
  <si>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</si>
  <si>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</si>
  <si>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</si>
  <si>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</si>
  <si>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</si>
  <si>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</si>
  <si>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</si>
  <si>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</si>
  <si>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</si>
  <si>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</si>
  <si>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</si>
  <si>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</si>
  <si>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</si>
  <si>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</si>
  <si>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</si>
  <si>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</si>
  <si>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</si>
  <si>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</si>
  <si>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</si>
  <si>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</si>
  <si>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</si>
  <si>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</si>
  <si>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</si>
  <si>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</si>
  <si>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</si>
  <si>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</si>
  <si>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</si>
  <si>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</si>
  <si>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</si>
  <si>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</si>
  <si>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</si>
  <si>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</si>
  <si>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</si>
  <si>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</si>
  <si>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</si>
  <si>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</si>
  <si>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</si>
  <si>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</si>
  <si>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</si>
  <si>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</si>
  <si>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</si>
  <si>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</si>
  <si>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</si>
  <si>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</si>
  <si>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</si>
  <si>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</si>
  <si>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</si>
  <si>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</si>
  <si>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</si>
  <si>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</si>
  <si>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</si>
  <si>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</si>
  <si>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</si>
  <si>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</si>
  <si>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</si>
  <si>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</si>
  <si>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</si>
  <si>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</si>
  <si>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</si>
  <si>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</si>
  <si>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</si>
  <si>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</si>
  <si>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</si>
  <si>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</si>
  <si>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</si>
  <si>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</si>
  <si>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</si>
  <si>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</si>
  <si>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</si>
  <si>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</si>
  <si>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</si>
  <si>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</si>
  <si>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</si>
  <si>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</si>
  <si>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</si>
  <si>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</si>
  <si>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</si>
  <si>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</si>
  <si>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</si>
  <si>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</si>
  <si>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</si>
  <si>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</si>
  <si>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</si>
  <si>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</si>
  <si>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</si>
  <si>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</si>
  <si>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</si>
  <si>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</si>
  <si>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</si>
  <si>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</si>
  <si>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</si>
  <si>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</si>
  <si>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</si>
  <si>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</si>
  <si>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</si>
  <si>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</si>
  <si>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</si>
  <si>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</si>
  <si>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</si>
  <si>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</si>
  <si>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</si>
  <si>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</si>
  <si>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</si>
  <si>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</si>
  <si>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</si>
  <si>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</si>
  <si>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</si>
  <si>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</si>
  <si>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</si>
  <si>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</si>
  <si>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</si>
  <si>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</si>
  <si>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</si>
  <si>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</si>
  <si>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</si>
  <si>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</si>
  <si>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</si>
  <si>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</si>
  <si>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</si>
  <si>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</si>
  <si>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</si>
  <si>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</si>
  <si>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</si>
  <si>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</si>
  <si>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</si>
  <si>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</si>
  <si>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</si>
  <si>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</si>
  <si>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</si>
  <si>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</si>
  <si>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</si>
  <si>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</si>
  <si>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</si>
  <si>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</si>
  <si>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</si>
  <si>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</si>
  <si>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</si>
  <si>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</si>
  <si>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</si>
  <si>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</si>
  <si>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</si>
  <si>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</si>
  <si>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</si>
  <si>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</si>
  <si>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</si>
  <si>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</si>
  <si>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</si>
  <si>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</si>
  <si>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</si>
  <si>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</si>
  <si>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</si>
  <si>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</si>
  <si>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</si>
  <si>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</si>
  <si>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</si>
  <si>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</si>
  <si>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</si>
  <si>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</si>
  <si>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</si>
  <si>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</si>
  <si>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</si>
  <si>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</si>
  <si>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</si>
  <si>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</si>
  <si>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</si>
  <si>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</si>
  <si>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</si>
  <si>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</si>
  <si>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</si>
  <si>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</si>
  <si>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</si>
  <si>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</si>
  <si>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</si>
  <si>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</si>
  <si>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</si>
  <si>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</si>
  <si>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</si>
  <si>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</si>
  <si>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</si>
  <si>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</si>
  <si>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</si>
  <si>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</si>
  <si>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</si>
  <si>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</si>
  <si>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</si>
  <si>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</si>
  <si>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</si>
  <si>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</si>
  <si>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</si>
  <si>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</si>
  <si>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</si>
  <si>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</si>
  <si>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</si>
  <si>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</si>
  <si>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</si>
  <si>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</si>
  <si>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</si>
  <si>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</si>
  <si>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</si>
  <si>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</si>
  <si>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</si>
  <si>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</si>
  <si>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</si>
  <si>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</si>
  <si>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</si>
  <si>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</si>
  <si>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</si>
  <si>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</si>
  <si>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</si>
  <si>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</si>
  <si>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</si>
  <si>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</si>
  <si>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</si>
  <si>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</si>
  <si>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</si>
  <si>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</si>
  <si>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</si>
  <si>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</si>
  <si>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</si>
  <si>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</si>
  <si>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</si>
  <si>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</si>
  <si>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</si>
  <si>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</si>
  <si>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</si>
  <si>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</si>
  <si>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</si>
  <si>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</si>
  <si>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</si>
  <si>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</si>
  <si>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</si>
  <si>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</si>
  <si>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</si>
  <si>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</si>
  <si>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</si>
  <si>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</si>
  <si>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</si>
  <si>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</si>
  <si>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</si>
  <si>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</si>
  <si>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</si>
  <si>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</si>
  <si>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</si>
  <si>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</si>
  <si>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</si>
  <si>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</si>
  <si>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</si>
  <si>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</si>
  <si>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</si>
  <si>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</si>
  <si>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</si>
  <si>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</si>
  <si>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</si>
  <si>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</si>
  <si>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</si>
  <si>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</si>
  <si>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</si>
  <si>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</si>
  <si>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</si>
  <si>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</si>
  <si>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</si>
  <si>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</si>
  <si>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</si>
  <si>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</si>
  <si>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</si>
  <si>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</si>
  <si>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</si>
  <si>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</si>
  <si>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</si>
  <si>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</si>
  <si>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</si>
  <si>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</si>
  <si>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</si>
  <si>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</si>
  <si>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</si>
  <si>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</si>
  <si>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</si>
  <si>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</si>
  <si>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</si>
  <si>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</si>
  <si>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</si>
  <si>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</si>
  <si>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</si>
  <si>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</si>
  <si>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</si>
  <si>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</si>
  <si>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</si>
  <si>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</si>
  <si>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</si>
  <si>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</si>
  <si>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</si>
  <si>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</si>
  <si>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</si>
  <si>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</si>
  <si>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</si>
  <si>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</si>
  <si>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</si>
  <si>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</si>
  <si>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</si>
  <si>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</si>
  <si>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</si>
  <si>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</si>
  <si>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</si>
  <si>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</si>
  <si>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</si>
  <si>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</si>
  <si>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</si>
  <si>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</si>
  <si>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</si>
  <si>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</si>
  <si>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</si>
  <si>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</si>
  <si>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</si>
  <si>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</si>
  <si>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</si>
  <si>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</si>
  <si>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</si>
  <si>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</si>
  <si>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</si>
  <si>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</si>
  <si>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</si>
  <si>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</si>
  <si>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</si>
  <si>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</si>
  <si>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</si>
  <si>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</si>
  <si>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</si>
  <si>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</si>
  <si>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</si>
  <si>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</si>
  <si>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</si>
  <si>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</si>
  <si>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</si>
  <si>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</si>
  <si>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</si>
  <si>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</si>
  <si>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</si>
  <si>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</si>
  <si>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</si>
  <si>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</si>
  <si>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</si>
  <si>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</si>
  <si>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</si>
  <si>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</si>
  <si>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</si>
  <si>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</si>
  <si>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</si>
  <si>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</si>
  <si>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</si>
  <si>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</si>
  <si>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</si>
  <si>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</si>
  <si>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</si>
  <si>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</si>
  <si>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</si>
  <si>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</si>
  <si>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</si>
  <si>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</si>
  <si>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</si>
  <si>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</si>
  <si>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</si>
  <si>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</si>
  <si>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</si>
  <si>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</si>
  <si>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</si>
  <si>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</si>
  <si>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</si>
  <si>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</si>
  <si>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</si>
  <si>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</si>
  <si>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</si>
  <si>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</si>
  <si>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</si>
  <si>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</si>
  <si>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</si>
  <si>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</si>
  <si>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</si>
  <si>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</si>
  <si>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</si>
  <si>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</si>
  <si>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</si>
  <si>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</si>
  <si>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</si>
  <si>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</si>
  <si>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</si>
  <si>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</si>
  <si>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</si>
  <si>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</si>
  <si>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</si>
  <si>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</si>
  <si>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</si>
  <si>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</si>
  <si>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</si>
  <si>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</si>
  <si>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</si>
  <si>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</si>
  <si>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</si>
  <si>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</si>
  <si>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</si>
  <si>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</si>
  <si>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</si>
  <si>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</si>
  <si>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</si>
  <si>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</si>
  <si>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</si>
  <si>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</si>
  <si>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</si>
  <si>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</si>
  <si>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</si>
  <si>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</si>
  <si>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</si>
  <si>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</si>
  <si>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</si>
  <si>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</si>
  <si>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</si>
  <si>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</si>
  <si>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</si>
  <si>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</si>
  <si>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</si>
  <si>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</si>
  <si>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</si>
  <si>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</si>
  <si>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</si>
  <si>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</si>
  <si>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</si>
  <si>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</si>
  <si>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</si>
  <si>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</si>
  <si>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</si>
  <si>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</si>
  <si>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</si>
  <si>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</si>
  <si>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</si>
  <si>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</si>
  <si>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</si>
  <si>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</si>
  <si>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</si>
  <si>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</si>
  <si>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</si>
  <si>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</si>
  <si>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</si>
  <si>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</si>
  <si>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</si>
  <si>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</si>
  <si>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</si>
  <si>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</si>
  <si>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</si>
  <si>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</si>
  <si>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</si>
  <si>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</si>
  <si>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</si>
  <si>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</si>
  <si>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</si>
  <si>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</si>
  <si>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</si>
  <si>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</si>
  <si>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</si>
  <si>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</si>
  <si>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</si>
  <si>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</si>
  <si>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</si>
  <si>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</si>
  <si>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</si>
  <si>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</si>
  <si>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</si>
  <si>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</si>
  <si>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</si>
  <si>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</si>
  <si>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</si>
  <si>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</si>
  <si>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</si>
  <si>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</si>
  <si>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</si>
  <si>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</si>
  <si>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</si>
  <si>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</si>
  <si>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</si>
  <si>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</si>
  <si>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</si>
  <si>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</si>
  <si>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</si>
  <si>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</si>
  <si>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</si>
  <si>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</si>
  <si>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</si>
  <si>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</si>
  <si>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</si>
  <si>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</si>
  <si>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</si>
  <si>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</si>
  <si>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</si>
  <si>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</si>
  <si>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</si>
  <si>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</si>
  <si>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</si>
  <si>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</si>
  <si>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</si>
  <si>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</si>
  <si>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</si>
  <si>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</si>
  <si>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</si>
  <si>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</si>
  <si>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</si>
  <si>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</si>
  <si>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</si>
  <si>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</si>
  <si>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</si>
  <si>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</si>
  <si>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</si>
  <si>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</si>
  <si>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</si>
  <si>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</si>
  <si>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</si>
  <si>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</si>
  <si>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</si>
  <si>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</si>
  <si>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</si>
  <si>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</si>
  <si>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</si>
  <si>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</si>
  <si>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</si>
  <si>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</si>
  <si>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</si>
  <si>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</si>
  <si>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</si>
  <si>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</si>
  <si>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</si>
  <si>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</si>
  <si>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</si>
  <si>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</si>
  <si>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</si>
  <si>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</si>
  <si>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</si>
  <si>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</si>
  <si>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</si>
  <si>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</si>
  <si>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</si>
  <si>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</si>
  <si>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</si>
  <si>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</si>
  <si>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</si>
  <si>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</si>
  <si>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</si>
  <si>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</si>
  <si>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</si>
  <si>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</si>
  <si>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</si>
  <si>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</si>
  <si>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</si>
  <si>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</si>
  <si>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</si>
  <si>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</si>
  <si>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</si>
  <si>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</si>
  <si>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</si>
  <si>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</si>
  <si>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</si>
  <si>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</si>
  <si>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</si>
  <si>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</si>
  <si>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</si>
  <si>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</si>
  <si>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</si>
  <si>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</si>
  <si>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</si>
  <si>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</si>
  <si>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</si>
  <si>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</si>
  <si>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</si>
  <si>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</si>
  <si>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</si>
  <si>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</si>
  <si>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</si>
  <si>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</si>
  <si>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</si>
  <si>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</si>
  <si>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</si>
  <si>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</si>
  <si>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</si>
  <si>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</si>
  <si>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</si>
  <si>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</si>
  <si>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</si>
  <si>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</si>
  <si>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</si>
  <si>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</si>
  <si>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</si>
  <si>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</si>
  <si>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</si>
  <si>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</si>
  <si>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</si>
  <si>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</si>
  <si>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</si>
  <si>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</si>
  <si>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</si>
  <si>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</si>
  <si>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</si>
  <si>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</si>
  <si>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</si>
  <si>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</si>
  <si>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</si>
  <si>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</si>
  <si>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</si>
  <si>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</si>
  <si>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</si>
  <si>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</si>
  <si>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</si>
  <si>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</si>
  <si>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</si>
  <si>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</si>
  <si>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</si>
  <si>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</si>
  <si>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</si>
  <si>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</si>
  <si>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</si>
  <si>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</si>
  <si>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</si>
  <si>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</si>
  <si>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</si>
  <si>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</si>
  <si>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</si>
  <si>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</si>
  <si>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</si>
  <si>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</si>
  <si>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</si>
  <si>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</si>
  <si>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</si>
  <si>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</si>
  <si>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</si>
  <si>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</si>
  <si>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</si>
  <si>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</si>
  <si>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</si>
  <si>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</si>
  <si>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</si>
  <si>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</si>
  <si>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</si>
  <si>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</si>
  <si>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</si>
  <si>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</si>
  <si>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</si>
  <si>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</si>
  <si>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</si>
  <si>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</si>
  <si>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</si>
  <si>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</si>
  <si>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</si>
  <si>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</si>
  <si>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</si>
  <si>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</si>
  <si>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</si>
  <si>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</si>
  <si>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</si>
  <si>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</si>
  <si>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</si>
  <si>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</si>
  <si>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</si>
  <si>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</si>
  <si>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</si>
  <si>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</si>
  <si>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</si>
  <si>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</si>
  <si>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</si>
  <si>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</si>
  <si>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</si>
  <si>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</si>
  <si>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</si>
  <si>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</si>
  <si>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</si>
  <si>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</si>
  <si>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</si>
  <si>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</si>
  <si>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</si>
  <si>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</si>
  <si>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</si>
  <si>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</si>
  <si>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</si>
  <si>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</si>
  <si>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</si>
  <si>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</si>
  <si>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</si>
  <si>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</si>
  <si>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</si>
  <si>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</si>
  <si>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</si>
  <si>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</si>
  <si>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</si>
  <si>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</si>
  <si>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</si>
  <si>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</si>
  <si>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</si>
  <si>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</si>
  <si>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</si>
  <si>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</si>
  <si>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</si>
  <si>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</si>
  <si>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</si>
  <si>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</si>
  <si>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</si>
  <si>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</si>
  <si>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</si>
  <si>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</si>
  <si>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</si>
  <si>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</si>
  <si>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</si>
  <si>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</si>
  <si>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</si>
  <si>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</si>
  <si>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</si>
  <si>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</si>
  <si>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</si>
  <si>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</si>
  <si>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</si>
  <si>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</si>
  <si>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</si>
  <si>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</si>
  <si>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</si>
  <si>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</si>
  <si>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</si>
  <si>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</si>
  <si>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</si>
  <si>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</si>
  <si>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</si>
  <si>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</si>
  <si>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</si>
  <si>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</si>
  <si>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</si>
  <si>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</si>
  <si>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</si>
  <si>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</si>
  <si>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</si>
  <si>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</si>
  <si>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</si>
  <si>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</si>
  <si>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</si>
  <si>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</si>
  <si>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</si>
  <si>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</si>
  <si>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</si>
  <si>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</si>
  <si>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</si>
  <si>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</si>
  <si>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</si>
  <si>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</si>
  <si>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</si>
  <si>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</si>
  <si>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</si>
  <si>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</si>
  <si>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</si>
  <si>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</si>
  <si>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</si>
  <si>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</si>
  <si>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</si>
  <si>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</si>
  <si>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</si>
  <si>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</si>
  <si>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</si>
  <si>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</si>
  <si>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</si>
  <si>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</si>
  <si>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</si>
  <si>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</si>
  <si>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</si>
  <si>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</si>
  <si>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</si>
  <si>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</si>
  <si>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</si>
  <si>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</si>
  <si>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</si>
  <si>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</si>
  <si>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</si>
  <si>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</si>
  <si>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</si>
  <si>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</si>
  <si>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</si>
  <si>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</si>
  <si>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</si>
  <si>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</si>
  <si>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</si>
  <si>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</si>
  <si>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</si>
  <si>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</si>
  <si>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</si>
  <si>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</si>
  <si>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</si>
  <si>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</si>
  <si>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</si>
  <si>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</si>
  <si>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</si>
  <si>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</si>
  <si>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</si>
  <si>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</si>
  <si>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</si>
  <si>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</si>
  <si>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</si>
  <si>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</si>
  <si>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</si>
  <si>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</si>
  <si>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</si>
  <si>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</si>
  <si>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</si>
  <si>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</si>
  <si>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</si>
  <si>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</si>
  <si>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</si>
  <si>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</si>
  <si>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</si>
  <si>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</si>
  <si>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</si>
  <si>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</si>
  <si>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</si>
  <si>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</si>
  <si>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</si>
  <si>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</si>
  <si>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</si>
  <si>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</si>
  <si>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</si>
  <si>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</si>
  <si>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</si>
  <si>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</si>
  <si>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</si>
  <si>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</si>
  <si>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</si>
  <si>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</si>
  <si>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</si>
  <si>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</si>
  <si>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</si>
  <si>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</si>
  <si>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</si>
  <si>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</si>
  <si>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</si>
  <si>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</si>
  <si>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</si>
  <si>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</si>
  <si>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</si>
  <si>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</si>
  <si>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</si>
  <si>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</si>
  <si>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</si>
  <si>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</si>
  <si>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</si>
  <si>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</si>
  <si>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</si>
  <si>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</si>
  <si>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</si>
  <si>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</si>
  <si>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</si>
  <si>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</si>
  <si>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</si>
  <si>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</si>
  <si>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</si>
  <si>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</si>
  <si>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</si>
  <si>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</si>
  <si>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</si>
  <si>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</si>
  <si>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</si>
  <si>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</si>
  <si>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</si>
  <si>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</si>
  <si>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</si>
  <si>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</si>
  <si>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</si>
  <si>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</si>
  <si>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</si>
  <si>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</si>
  <si>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</si>
  <si>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</si>
  <si>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</si>
  <si>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</si>
  <si>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</si>
  <si>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</si>
  <si>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</si>
  <si>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</si>
  <si>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</si>
  <si>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</si>
  <si>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</si>
  <si>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</si>
  <si>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</si>
  <si>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</si>
  <si>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</si>
  <si>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</si>
  <si>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</si>
  <si>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</si>
  <si>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</si>
  <si>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</si>
  <si>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</si>
  <si>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</si>
  <si>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</si>
  <si>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</si>
  <si>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</si>
  <si>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</si>
  <si>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</si>
  <si>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</si>
  <si>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</si>
  <si>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</si>
  <si>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</si>
  <si>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</si>
  <si>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</si>
  <si>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</si>
  <si>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</si>
  <si>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</si>
  <si>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</si>
  <si>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</si>
  <si>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</si>
  <si>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</si>
  <si>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</si>
  <si>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</si>
  <si>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</si>
  <si>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</si>
  <si>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</si>
  <si>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</si>
  <si>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</si>
  <si>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</si>
  <si>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</si>
  <si>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</si>
  <si>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</si>
  <si>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</si>
  <si>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</si>
  <si>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</si>
  <si>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</si>
  <si>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</si>
  <si>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</si>
  <si>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</si>
  <si>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</si>
  <si>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</si>
  <si>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</si>
  <si>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</si>
  <si>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</si>
  <si>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</si>
  <si>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</si>
  <si>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</si>
  <si>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</si>
  <si>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</si>
  <si>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</si>
  <si>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</si>
  <si>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</si>
  <si>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</si>
  <si>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</si>
  <si>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</si>
  <si>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</si>
  <si>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</si>
  <si>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</si>
  <si>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</si>
  <si>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</si>
  <si>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</si>
  <si>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</si>
  <si>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</si>
  <si>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</si>
  <si>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</si>
  <si>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</si>
  <si>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</si>
  <si>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</si>
  <si>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</si>
  <si>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</si>
  <si>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</si>
  <si>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</si>
  <si>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</si>
  <si>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</si>
  <si>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</si>
  <si>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</si>
  <si>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</si>
  <si>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</si>
  <si>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</si>
  <si>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</si>
  <si>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</si>
  <si>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</si>
  <si>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</si>
  <si>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</si>
  <si>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</si>
  <si>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</si>
  <si>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</si>
  <si>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</si>
  <si>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</si>
  <si>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</si>
  <si>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</si>
  <si>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</si>
  <si>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</si>
  <si>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</si>
  <si>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</si>
  <si>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</si>
  <si>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</si>
  <si>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</si>
  <si>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</si>
  <si>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</si>
  <si>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</si>
  <si>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</si>
  <si>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</si>
  <si>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</si>
  <si>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</si>
  <si>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</si>
  <si>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</si>
  <si>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</si>
  <si>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</si>
  <si>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</si>
  <si>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</si>
  <si>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</si>
  <si>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</si>
  <si>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</si>
  <si>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</si>
  <si>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</si>
  <si>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</si>
  <si>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</si>
  <si>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</si>
  <si>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</si>
  <si>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</si>
  <si>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</si>
  <si>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</si>
  <si>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</si>
  <si>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</si>
  <si>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</si>
  <si>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</si>
  <si>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</si>
  <si>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</si>
  <si>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</si>
  <si>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</si>
  <si>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</si>
  <si>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</si>
  <si>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</si>
  <si>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</si>
  <si>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</si>
  <si>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</si>
  <si>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</si>
  <si>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</si>
  <si>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</si>
  <si>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</si>
  <si>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</si>
  <si>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</si>
  <si>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</si>
  <si>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</si>
  <si>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</si>
  <si>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</si>
  <si>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</si>
  <si>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</si>
  <si>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</si>
  <si>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</si>
  <si>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</si>
  <si>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</si>
  <si>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</si>
  <si>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</si>
  <si>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</si>
  <si>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</si>
  <si>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</si>
  <si>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</si>
  <si>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</si>
  <si>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</si>
  <si>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</si>
  <si>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</si>
  <si>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</si>
  <si>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</si>
  <si>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</si>
  <si>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</si>
  <si>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</si>
  <si>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</si>
  <si>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</si>
  <si>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</si>
  <si>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</si>
  <si>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</si>
  <si>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</si>
  <si>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</si>
  <si>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</si>
  <si>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</si>
  <si>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</si>
  <si>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</si>
  <si>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</si>
  <si>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</si>
  <si>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</si>
  <si>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</si>
  <si>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</si>
  <si>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</si>
  <si>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</si>
  <si>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</si>
  <si>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</si>
  <si>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</si>
  <si>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</si>
  <si>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</si>
  <si>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</si>
  <si>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</si>
  <si>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</si>
  <si>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</si>
  <si>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</si>
  <si>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</si>
  <si>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</si>
  <si>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</si>
  <si>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</si>
  <si>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</si>
  <si>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</si>
  <si>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</si>
  <si>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</si>
  <si>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</si>
  <si>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</si>
  <si>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</si>
  <si>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</si>
  <si>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</si>
  <si>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</si>
  <si>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</si>
  <si>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</si>
  <si>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</si>
  <si>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</si>
  <si>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</si>
  <si>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</si>
  <si>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</si>
  <si>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</si>
  <si>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</si>
  <si>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</si>
  <si>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</si>
  <si>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</si>
  <si>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</si>
  <si>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</si>
  <si>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</si>
  <si>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</si>
  <si>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</si>
  <si>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</si>
  <si>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</si>
  <si>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</si>
  <si>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</si>
  <si>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</si>
  <si>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</si>
  <si>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</si>
  <si>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</si>
  <si>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</si>
  <si>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</si>
  <si>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</si>
  <si>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</si>
  <si>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</si>
  <si>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</si>
  <si>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</si>
  <si>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</si>
  <si>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</si>
  <si>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</si>
  <si>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</si>
  <si>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</si>
  <si>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</si>
  <si>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</si>
  <si>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</si>
  <si>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</si>
  <si>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</si>
  <si>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</si>
  <si>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</si>
  <si>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</si>
  <si>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</si>
  <si>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</si>
  <si>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</si>
  <si>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</si>
  <si>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</si>
  <si>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</si>
  <si>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</si>
  <si>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</si>
  <si>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</si>
  <si>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</si>
  <si>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</si>
  <si>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</si>
  <si>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</si>
  <si>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</si>
  <si>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</si>
  <si>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</si>
  <si>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</si>
  <si>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</si>
  <si>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</si>
  <si>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</si>
  <si>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</si>
  <si>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</si>
  <si>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</si>
  <si>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</si>
  <si>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</si>
  <si>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</si>
  <si>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</si>
  <si>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</si>
  <si>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</si>
  <si>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</si>
  <si>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</si>
  <si>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</si>
  <si>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</si>
  <si>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</si>
  <si>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</si>
  <si>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</si>
  <si>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</si>
  <si>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</si>
  <si>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</si>
  <si>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</si>
  <si>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</si>
  <si>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</si>
  <si>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</si>
  <si>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</si>
  <si>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</si>
  <si>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</si>
  <si>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</si>
  <si>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</si>
  <si>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</si>
  <si>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</si>
  <si>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</si>
  <si>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</si>
  <si>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</si>
  <si>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</si>
  <si>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</si>
  <si>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</si>
  <si>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</si>
  <si>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</si>
  <si>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</si>
  <si>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</si>
  <si>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</si>
  <si>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</si>
  <si>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</si>
  <si>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</si>
  <si>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</si>
  <si>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</si>
  <si>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</si>
  <si>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</si>
  <si>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</si>
  <si>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</si>
  <si>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</si>
  <si>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</si>
  <si>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</si>
  <si>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</si>
  <si>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</si>
  <si>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</si>
  <si>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</si>
  <si>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</si>
  <si>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</si>
  <si>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</si>
  <si>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</si>
  <si>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</si>
  <si>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</si>
  <si>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</si>
  <si>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</si>
  <si>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</si>
  <si>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</si>
  <si>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</si>
  <si>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</si>
  <si>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</si>
  <si>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</si>
  <si>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</si>
  <si>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</si>
  <si>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</si>
  <si>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</si>
  <si>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</si>
  <si>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</si>
  <si>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</si>
  <si>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</si>
  <si>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</si>
  <si>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</si>
  <si>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</si>
  <si>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</si>
  <si>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</si>
  <si>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</si>
  <si>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</si>
  <si>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</si>
  <si>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</si>
  <si>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</si>
  <si>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</si>
  <si>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</si>
  <si>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</si>
  <si>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</si>
  <si>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</si>
  <si>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</si>
  <si>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</si>
  <si>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</si>
  <si>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</si>
  <si>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</si>
  <si>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</si>
  <si>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</si>
  <si>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</si>
  <si>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</si>
  <si>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</si>
  <si>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</si>
  <si>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</si>
  <si>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</si>
  <si>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</si>
  <si>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</si>
  <si>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</si>
  <si>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</si>
  <si>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</si>
  <si>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</si>
  <si>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</si>
  <si>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</si>
  <si>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</si>
  <si>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</si>
  <si>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</si>
  <si>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</si>
  <si>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</si>
  <si>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</si>
  <si>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</si>
  <si>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</si>
  <si>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</si>
  <si>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</si>
  <si>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</si>
  <si>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</si>
  <si>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</si>
  <si>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</si>
  <si>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</si>
  <si>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</si>
  <si>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</si>
  <si>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</si>
  <si>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</si>
  <si>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</si>
  <si>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</si>
  <si>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</si>
  <si>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</si>
  <si>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</si>
  <si>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</si>
  <si>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</si>
  <si>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</si>
  <si>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</si>
  <si>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</si>
  <si>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</si>
  <si>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</si>
  <si>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</si>
  <si>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</si>
  <si>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</si>
  <si>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</si>
  <si>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</si>
  <si>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</si>
  <si>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</si>
  <si>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</si>
  <si>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</si>
  <si>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</si>
  <si>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</si>
  <si>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</si>
  <si>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</si>
  <si>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</si>
  <si>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</si>
  <si>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</si>
  <si>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</si>
  <si>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</si>
  <si>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</si>
  <si>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</si>
  <si>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</si>
  <si>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</si>
  <si>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</si>
  <si>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</si>
  <si>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</si>
  <si>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</si>
  <si>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</si>
  <si>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</si>
  <si>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</si>
  <si>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</si>
  <si>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</si>
  <si>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</si>
  <si>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</si>
  <si>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</si>
  <si>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</si>
  <si>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</si>
  <si>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</si>
  <si>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</si>
  <si>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</si>
  <si>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</si>
  <si>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</si>
  <si>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</si>
  <si>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</si>
  <si>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</si>
  <si>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</si>
  <si>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</si>
  <si>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</si>
  <si>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</si>
  <si>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</si>
  <si>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</si>
  <si>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</si>
  <si>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</si>
  <si>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</si>
  <si>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</si>
  <si>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</si>
  <si>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</si>
  <si>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</si>
  <si>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</si>
  <si>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</si>
  <si>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</si>
  <si>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</si>
  <si>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</si>
  <si>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</si>
  <si>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</si>
  <si>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</si>
  <si>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</si>
  <si>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</si>
  <si>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</si>
  <si>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</si>
  <si>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</si>
  <si>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</si>
  <si>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</si>
  <si>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</si>
  <si>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</si>
  <si>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</si>
  <si>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</si>
  <si>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</si>
  <si>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</si>
  <si>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</si>
  <si>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</si>
  <si>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</si>
  <si>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</si>
  <si>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</si>
  <si>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</si>
  <si>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</si>
  <si>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</si>
  <si>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</si>
  <si>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</si>
  <si>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</si>
  <si>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</si>
  <si>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</si>
  <si>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</si>
  <si>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</si>
  <si>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</si>
  <si>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</si>
  <si>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</si>
  <si>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</si>
  <si>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</si>
  <si>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</si>
  <si>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</si>
  <si>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</si>
  <si>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</si>
  <si>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</si>
  <si>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</si>
  <si>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</si>
  <si>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</si>
  <si>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</si>
  <si>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</si>
  <si>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</si>
  <si>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</si>
  <si>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</si>
  <si>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</si>
  <si>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</si>
  <si>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</si>
  <si>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</si>
  <si>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</si>
  <si>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</si>
  <si>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</si>
  <si>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</si>
  <si>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</si>
  <si>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</si>
  <si>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</si>
  <si>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</si>
  <si>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</si>
  <si>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</si>
  <si>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</si>
  <si>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</si>
  <si>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</si>
  <si>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</si>
  <si>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</si>
  <si>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</si>
  <si>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</si>
  <si>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</si>
  <si>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</si>
  <si>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</si>
  <si>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</si>
  <si>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</si>
  <si>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</si>
  <si>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</si>
  <si>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</si>
  <si>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</si>
  <si>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</si>
  <si>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</si>
  <si>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</si>
  <si>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</si>
  <si>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</si>
  <si>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</si>
  <si>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</si>
  <si>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</si>
  <si>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</si>
  <si>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</si>
  <si>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</si>
  <si>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</si>
  <si>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</si>
  <si>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</si>
  <si>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</si>
  <si>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</si>
  <si>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</si>
  <si>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</si>
  <si>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</si>
  <si>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</si>
  <si>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</si>
  <si>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</si>
  <si>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</si>
  <si>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</si>
  <si>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</si>
  <si>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</si>
  <si>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</si>
  <si>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</si>
  <si>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</si>
  <si>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</si>
  <si>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</si>
  <si>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</si>
  <si>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</si>
  <si>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</si>
  <si>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</si>
  <si>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</si>
  <si>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</si>
  <si>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</si>
  <si>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</si>
  <si>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</si>
  <si>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</si>
  <si>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</si>
  <si>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</si>
  <si>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</si>
  <si>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</si>
  <si>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</si>
  <si>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</si>
  <si>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</si>
  <si>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</si>
  <si>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</si>
  <si>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</si>
  <si>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</si>
  <si>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</si>
  <si>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</si>
  <si>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</si>
  <si>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</si>
  <si>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</si>
  <si>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</si>
  <si>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</si>
  <si>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</si>
  <si>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</si>
  <si>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</si>
  <si>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</si>
  <si>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</si>
  <si>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</si>
  <si>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</si>
  <si>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</si>
  <si>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</si>
  <si>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</si>
  <si>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</si>
  <si>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</si>
  <si>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</si>
  <si>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</si>
  <si>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</si>
  <si>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</si>
  <si>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</si>
  <si>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</si>
  <si>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</si>
  <si>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</si>
  <si>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</si>
  <si>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</si>
  <si>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</si>
  <si>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</si>
  <si>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</si>
  <si>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</si>
  <si>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</si>
  <si>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</si>
  <si>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</si>
  <si>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</si>
  <si>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</si>
  <si>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</si>
  <si>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</si>
  <si>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</si>
  <si>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</si>
  <si>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</si>
  <si>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</si>
  <si>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</si>
  <si>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</si>
  <si>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</si>
  <si>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</si>
  <si>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</si>
  <si>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</si>
  <si>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</si>
  <si>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</si>
  <si>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</si>
  <si>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</si>
  <si>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</si>
  <si>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</si>
  <si>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</si>
  <si>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</si>
  <si>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</si>
  <si>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</si>
  <si>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</si>
  <si>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</si>
  <si>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</si>
  <si>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</si>
  <si>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</si>
  <si>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</si>
  <si>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</si>
  <si>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</si>
  <si>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</si>
  <si>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</si>
  <si>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</si>
  <si>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</si>
  <si>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</si>
  <si>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</si>
  <si>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</si>
  <si>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</si>
  <si>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</si>
  <si>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</si>
  <si>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</si>
  <si>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</si>
  <si>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</si>
  <si>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</si>
  <si>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</si>
  <si>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</si>
  <si>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</si>
  <si>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</si>
  <si>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</si>
  <si>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</si>
  <si>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</si>
  <si>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</si>
  <si>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</si>
  <si>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</si>
  <si>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</si>
  <si>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</si>
  <si>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</si>
  <si>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</si>
  <si>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</si>
  <si>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</si>
  <si>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</si>
  <si>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</si>
  <si>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</si>
  <si>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</si>
  <si>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</si>
  <si>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</si>
  <si>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</si>
  <si>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</si>
  <si>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</si>
  <si>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</si>
  <si>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</si>
  <si>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</si>
  <si>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</si>
  <si>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</si>
  <si>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</si>
  <si>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</si>
  <si>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</si>
  <si>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</si>
  <si>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</si>
  <si>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</si>
  <si>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</si>
  <si>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</si>
  <si>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</si>
  <si>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</si>
  <si>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</si>
  <si>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</si>
  <si>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</si>
  <si>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</si>
  <si>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</si>
  <si>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</si>
  <si>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</si>
  <si>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</si>
  <si>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</si>
  <si>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</si>
  <si>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</si>
  <si>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</si>
  <si>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</si>
  <si>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</si>
  <si>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</si>
  <si>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</si>
  <si>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</si>
  <si>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</si>
  <si>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</si>
  <si>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</si>
  <si>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</si>
  <si>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</si>
  <si>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</si>
  <si>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</si>
  <si>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</si>
  <si>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</si>
  <si>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</si>
  <si>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</si>
  <si>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</si>
  <si>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</si>
  <si>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</si>
  <si>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</si>
  <si>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</si>
  <si>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</si>
  <si>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</si>
  <si>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</si>
  <si>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1、北京市通州区永顺镇0401街区46号地（西马庄收储）B4综合性商业金融服务业用地(住商办六级VI-通2)</t>
    <phoneticPr fontId="282" type="noConversion"/>
  </si>
  <si>
    <t>商务金融用地（商业类）</t>
  </si>
  <si>
    <t>六通</t>
  </si>
  <si>
    <t>高速路</t>
  </si>
  <si>
    <t>商业配套</t>
  </si>
  <si>
    <t>商业配套</t>
    <phoneticPr fontId="27" type="noConversion"/>
  </si>
</sst>
</file>

<file path=xl/styles.xml><?xml version="1.0" encoding="utf-8"?>
<styleSheet xmlns="http://schemas.openxmlformats.org/spreadsheetml/2006/main">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center" vertical="center" wrapText="1"/>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twoCellAnchor editAs="oneCell">
    <xdr:from>
      <xdr:col>11</xdr:col>
      <xdr:colOff>552450</xdr:colOff>
      <xdr:row>1</xdr:row>
      <xdr:rowOff>9525</xdr:rowOff>
    </xdr:from>
    <xdr:to>
      <xdr:col>12</xdr:col>
      <xdr:colOff>485775</xdr:colOff>
      <xdr:row>13</xdr:row>
      <xdr:rowOff>66675</xdr:rowOff>
    </xdr:to>
    <xdr:pic>
      <xdr:nvPicPr>
        <xdr:cNvPr id="12185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829550" y="190500"/>
          <a:ext cx="885825" cy="24955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 xmlns:a16="http://schemas.microsoft.com/office/drawing/2014/main"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 xmlns:a16="http://schemas.microsoft.com/office/drawing/2014/main"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 xmlns:a16="http://schemas.microsoft.com/office/drawing/2014/main"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 xmlns:a16="http://schemas.microsoft.com/office/drawing/2014/main"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 xmlns:a16="http://schemas.microsoft.com/office/drawing/2014/main"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 xmlns:a16="http://schemas.microsoft.com/office/drawing/2014/main"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 xmlns:a16="http://schemas.microsoft.com/office/drawing/2014/main"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 xmlns:a16="http://schemas.microsoft.com/office/drawing/2014/main"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 xmlns:a16="http://schemas.microsoft.com/office/drawing/2014/main"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 xmlns:a16="http://schemas.microsoft.com/office/drawing/2014/main"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36234</v>
      </c>
    </row>
    <row r="47" spans="1:2">
      <c r="A47" s="2592" t="s">
        <v>2702</v>
      </c>
      <c r="B47" s="2593">
        <f ca="1">'预评函-2'!Q5</f>
        <v>6470</v>
      </c>
    </row>
    <row r="48" spans="1:2">
      <c r="A48" s="2592" t="s">
        <v>2703</v>
      </c>
      <c r="B48" s="2593">
        <f ca="1">'预评函-2'!R5</f>
        <v>19931</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31" t="str">
        <f>IF(B10="北京市","北京市",C10)&amp;F10&amp;B16&amp;"国有建设用地使用权"&amp;B9&amp;"预评估"</f>
        <v>北京市国有建设用地使用权预评估</v>
      </c>
      <c r="C1" s="3432"/>
      <c r="D1" s="3432"/>
      <c r="E1" s="3432"/>
      <c r="F1" s="3432"/>
      <c r="G1" s="3432"/>
      <c r="H1" s="3432"/>
      <c r="I1" s="3433"/>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ht="26.25">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37"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38"/>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34"/>
      <c r="C12" s="3435"/>
      <c r="D12" s="3436"/>
      <c r="E12" s="1618" t="s">
        <v>2047</v>
      </c>
      <c r="F12" s="3452" t="s">
        <v>2866</v>
      </c>
      <c r="G12" s="3453"/>
      <c r="H12" s="3453"/>
      <c r="I12" s="3454"/>
      <c r="J12" s="3071"/>
      <c r="K12" s="3054"/>
      <c r="L12" s="3050"/>
      <c r="M12" s="3050"/>
      <c r="N12" s="3051"/>
      <c r="O12" s="3052"/>
      <c r="P12" s="3051"/>
      <c r="Q12" s="3051"/>
      <c r="R12" s="3051"/>
      <c r="S12" s="3051"/>
      <c r="T12" s="3051"/>
      <c r="U12" s="3051"/>
    </row>
    <row r="13" spans="1:21">
      <c r="A13" s="1609" t="s">
        <v>2045</v>
      </c>
      <c r="B13" s="3434"/>
      <c r="C13" s="3435"/>
      <c r="D13" s="3436"/>
      <c r="E13" s="1618" t="s">
        <v>2047</v>
      </c>
      <c r="F13" s="3452" t="s">
        <v>2867</v>
      </c>
      <c r="G13" s="3453"/>
      <c r="H13" s="3453"/>
      <c r="I13" s="3454"/>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49"/>
      <c r="E20" s="3450"/>
      <c r="F20" s="3450"/>
      <c r="G20" s="3450"/>
      <c r="H20" s="3450"/>
      <c r="I20" s="3451"/>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39" t="s">
        <v>1984</v>
      </c>
      <c r="F21" s="3440"/>
      <c r="G21" s="3440"/>
      <c r="H21" s="3440"/>
      <c r="I21" s="3441"/>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39" t="s">
        <v>2868</v>
      </c>
      <c r="F22" s="3440"/>
      <c r="G22" s="3440"/>
      <c r="H22" s="3440"/>
      <c r="I22" s="3441"/>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42" t="s">
        <v>1952</v>
      </c>
      <c r="C24" s="3443"/>
      <c r="D24" s="3444" t="s">
        <v>1953</v>
      </c>
      <c r="E24" s="3445"/>
      <c r="F24" s="1626" t="s">
        <v>1954</v>
      </c>
      <c r="G24" s="3071"/>
      <c r="H24" s="3071"/>
      <c r="I24" s="3075"/>
      <c r="J24" s="3071"/>
      <c r="K24" s="3430"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30"/>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30"/>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57" t="s">
        <v>1987</v>
      </c>
      <c r="B31" s="1678" t="s">
        <v>1988</v>
      </c>
      <c r="C31" s="3455"/>
      <c r="D31" s="3456"/>
      <c r="E31" s="3071"/>
      <c r="F31" s="3071"/>
      <c r="G31" s="3071"/>
      <c r="H31" s="3071"/>
      <c r="I31" s="3075"/>
      <c r="J31" s="3071"/>
      <c r="K31" s="3057"/>
      <c r="L31" s="3051"/>
      <c r="M31" s="3051"/>
      <c r="N31" s="3051"/>
      <c r="O31" s="3051"/>
      <c r="P31" s="3051"/>
      <c r="Q31" s="3051"/>
      <c r="R31" s="3051"/>
      <c r="S31" s="3051"/>
      <c r="T31" s="3051"/>
      <c r="U31" s="3051"/>
    </row>
    <row r="32" spans="1:21">
      <c r="A32" s="3457"/>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57"/>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58"/>
      <c r="B34" s="1586" t="s">
        <v>1991</v>
      </c>
      <c r="C34" s="3459"/>
      <c r="D34" s="3460"/>
      <c r="E34" s="3071"/>
      <c r="F34" s="3071"/>
      <c r="G34" s="3071"/>
      <c r="H34" s="3071"/>
      <c r="I34" s="3075"/>
      <c r="J34" s="3071"/>
      <c r="K34" s="3057"/>
      <c r="L34" s="3051"/>
      <c r="M34" s="3051"/>
      <c r="N34" s="3051"/>
      <c r="O34" s="3051"/>
      <c r="P34" s="3051"/>
      <c r="Q34" s="3051"/>
      <c r="R34" s="3051"/>
      <c r="S34" s="3051"/>
      <c r="T34" s="3051"/>
      <c r="U34" s="3051"/>
    </row>
    <row r="35" spans="1:28">
      <c r="A35" s="3461" t="s">
        <v>837</v>
      </c>
      <c r="B35" s="1640"/>
      <c r="C35" s="1687" t="str">
        <f>IF(B35="场地平整","——","具体情况：")</f>
        <v>具体情况：</v>
      </c>
      <c r="D35" s="3463"/>
      <c r="E35" s="3464"/>
      <c r="F35" s="3464"/>
      <c r="G35" s="3464"/>
      <c r="H35" s="3464"/>
      <c r="I35" s="3465"/>
      <c r="J35" s="3071"/>
      <c r="K35" s="3058"/>
      <c r="L35" s="3050"/>
      <c r="M35" s="3050"/>
      <c r="N35" s="3051"/>
      <c r="O35" s="3052"/>
      <c r="P35" s="3051"/>
      <c r="Q35" s="3051"/>
      <c r="R35" s="3051"/>
      <c r="S35" s="3051"/>
      <c r="T35" s="3051"/>
      <c r="U35" s="3051"/>
    </row>
    <row r="36" spans="1:28">
      <c r="A36" s="3457"/>
      <c r="B36" s="3466" t="s">
        <v>2040</v>
      </c>
      <c r="C36" s="3467"/>
      <c r="D36" s="1703"/>
      <c r="E36" s="3468"/>
      <c r="F36" s="3468"/>
      <c r="G36" s="1609" t="str">
        <f>IF(B35="场地未平整","估价结果处理","")</f>
        <v/>
      </c>
      <c r="H36" s="3469"/>
      <c r="I36" s="3469"/>
      <c r="J36" s="3071"/>
      <c r="K36" s="3058"/>
      <c r="L36" s="3050"/>
      <c r="M36" s="3050"/>
      <c r="N36" s="3051"/>
      <c r="O36" s="3052"/>
      <c r="P36" s="3051"/>
      <c r="Q36" s="3051"/>
      <c r="R36" s="3051"/>
      <c r="S36" s="3051"/>
      <c r="T36" s="3051"/>
      <c r="U36" s="3051"/>
    </row>
    <row r="37" spans="1:28" ht="28.5">
      <c r="A37" s="3457"/>
      <c r="B37" s="3446"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57"/>
      <c r="B38" s="3447"/>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58"/>
      <c r="B39" s="3448"/>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29" t="s">
        <v>1971</v>
      </c>
      <c r="T40" s="1649" t="str">
        <f>NUMBERSTRING(7-K40,1)&amp;"通"</f>
        <v>七通</v>
      </c>
      <c r="U40" s="3051"/>
    </row>
    <row r="41" spans="1:28">
      <c r="A41" s="1588"/>
      <c r="B41" s="3462" t="s">
        <v>1709</v>
      </c>
      <c r="C41" s="3462"/>
      <c r="D41" s="3462"/>
      <c r="E41" s="3462"/>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29"/>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0" t="s">
        <v>0</v>
      </c>
      <c r="B1" s="3470" t="s">
        <v>4</v>
      </c>
      <c r="C1" s="3470" t="s">
        <v>5</v>
      </c>
      <c r="D1" s="3471" t="s">
        <v>40</v>
      </c>
      <c r="E1" s="3471" t="s">
        <v>41</v>
      </c>
      <c r="F1" s="3471"/>
      <c r="G1" s="3471"/>
      <c r="H1" s="3471"/>
      <c r="I1" s="3471"/>
      <c r="J1" s="3471"/>
      <c r="K1" s="3471"/>
      <c r="L1" s="3471"/>
      <c r="M1" s="3471"/>
    </row>
    <row r="2" spans="1:13" ht="27" customHeight="1">
      <c r="A2" s="3470"/>
      <c r="B2" s="3470"/>
      <c r="C2" s="3470"/>
      <c r="D2" s="3471"/>
      <c r="E2" s="3471" t="s">
        <v>24</v>
      </c>
      <c r="F2" s="3471" t="s">
        <v>25</v>
      </c>
      <c r="G2" s="3471"/>
      <c r="H2" s="3471"/>
      <c r="I2" s="3471"/>
      <c r="J2" s="3471" t="s">
        <v>26</v>
      </c>
      <c r="K2" s="3471"/>
      <c r="L2" s="3471"/>
      <c r="M2" s="3471"/>
    </row>
    <row r="3" spans="1:13" ht="28.5">
      <c r="A3" s="3470"/>
      <c r="B3" s="3470"/>
      <c r="C3" s="3470"/>
      <c r="D3" s="3471"/>
      <c r="E3" s="34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1" t="s">
        <v>42</v>
      </c>
      <c r="B9" s="3471"/>
      <c r="C9" s="34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1" t="s">
        <v>201</v>
      </c>
      <c r="B2" s="3481"/>
      <c r="C2" s="3481"/>
      <c r="D2" s="1886" t="s">
        <v>202</v>
      </c>
      <c r="E2" s="105" t="s">
        <v>203</v>
      </c>
      <c r="F2" s="3080"/>
      <c r="G2" s="1179"/>
      <c r="H2" s="1180"/>
      <c r="I2" s="1181" t="s">
        <v>847</v>
      </c>
      <c r="J2" s="3080"/>
      <c r="K2" s="3080"/>
      <c r="L2" s="3080"/>
      <c r="M2" s="3080"/>
      <c r="N2" s="3080"/>
      <c r="O2" s="3080"/>
      <c r="P2" s="3080"/>
    </row>
    <row r="3" spans="1:16" ht="15.75" thickBot="1">
      <c r="A3" s="3482" t="s">
        <v>204</v>
      </c>
      <c r="B3" s="3482"/>
      <c r="C3" s="3482"/>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3"/>
      <c r="B4" s="3484"/>
      <c r="C4" s="3485"/>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6" t="s">
        <v>228</v>
      </c>
      <c r="C5" s="3486"/>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6" t="s">
        <v>206</v>
      </c>
      <c r="C6" s="3486"/>
      <c r="D6" s="110">
        <f>ROUND($D$3*E6/$E$3,2)</f>
        <v>5500.65</v>
      </c>
      <c r="E6" s="111">
        <f>E3-E5</f>
        <v>30803.628000000001</v>
      </c>
      <c r="F6" s="3080"/>
      <c r="G6" s="1182"/>
      <c r="H6" s="271" t="s">
        <v>850</v>
      </c>
      <c r="I6" s="1887">
        <f>ROUND(F31/D31,2)</f>
        <v>5.6</v>
      </c>
      <c r="J6" s="3080"/>
      <c r="K6" s="3080"/>
      <c r="L6" s="3080"/>
      <c r="M6" s="3080"/>
      <c r="N6" s="3080"/>
      <c r="O6" s="3080"/>
      <c r="P6" s="3080"/>
    </row>
    <row r="7" spans="1:16" ht="15">
      <c r="A7" s="3478"/>
      <c r="B7" s="3479"/>
      <c r="C7" s="3480"/>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2" t="s">
        <v>2545</v>
      </c>
      <c r="L16" s="3473"/>
      <c r="M16" s="3473"/>
      <c r="N16" s="3473"/>
      <c r="O16" s="3473"/>
      <c r="P16" s="3474"/>
    </row>
    <row r="17" spans="1:19" ht="15">
      <c r="A17" s="120" t="s">
        <v>214</v>
      </c>
      <c r="B17" s="121" t="s">
        <v>215</v>
      </c>
      <c r="C17" s="2175" t="s">
        <v>2298</v>
      </c>
      <c r="D17" s="107" t="s">
        <v>202</v>
      </c>
      <c r="E17" s="123" t="s">
        <v>203</v>
      </c>
      <c r="F17" s="124"/>
      <c r="G17" s="1317"/>
      <c r="H17" s="956" t="s">
        <v>216</v>
      </c>
      <c r="I17" s="957" t="s">
        <v>2297</v>
      </c>
      <c r="J17" s="1895"/>
      <c r="K17" s="3475" t="s">
        <v>2546</v>
      </c>
      <c r="L17" s="3476"/>
      <c r="M17" s="3477"/>
      <c r="N17" s="3475" t="s">
        <v>2547</v>
      </c>
      <c r="O17" s="3476"/>
      <c r="P17" s="3477"/>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L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5.4</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0.01</v>
      </c>
      <c r="AL7" s="3391">
        <v>1E-3</v>
      </c>
      <c r="AM7" s="3392">
        <v>0.01</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0.05</v>
      </c>
      <c r="X8" s="2198"/>
      <c r="Y8" s="179">
        <v>1</v>
      </c>
      <c r="Z8" s="180"/>
      <c r="AA8" s="173"/>
      <c r="AB8" s="173"/>
      <c r="AC8" s="2201"/>
      <c r="AD8" s="181"/>
      <c r="AE8" s="958">
        <f t="shared" ca="1" si="6"/>
        <v>50</v>
      </c>
      <c r="AF8" s="138"/>
      <c r="AG8" s="1194">
        <f t="shared" si="7"/>
        <v>0</v>
      </c>
      <c r="AH8" s="138"/>
      <c r="AI8" s="184">
        <v>365</v>
      </c>
      <c r="AJ8" s="185"/>
      <c r="AK8" s="3390">
        <v>5.0000000000000001E-3</v>
      </c>
      <c r="AL8" s="3391">
        <v>5.0000000000000001E-4</v>
      </c>
      <c r="AM8" s="3392">
        <v>5.0000000000000001E-3</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0.01</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0.01</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87" t="s">
        <v>1651</v>
      </c>
      <c r="B1" s="3488"/>
      <c r="C1" s="3488"/>
      <c r="D1" s="3488"/>
      <c r="E1" s="3488"/>
      <c r="F1" s="3488"/>
      <c r="G1" s="3488"/>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3165</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3166</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3161</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3164</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3163</v>
      </c>
      <c r="D8" s="3133"/>
      <c r="E8" s="3133"/>
      <c r="F8" s="3137"/>
      <c r="G8" s="3137"/>
      <c r="H8" s="3121"/>
      <c r="I8" s="3121"/>
      <c r="J8" s="3121"/>
      <c r="K8" s="3121"/>
      <c r="L8" s="3121"/>
      <c r="M8" s="3121"/>
      <c r="N8" s="3121"/>
      <c r="O8" s="3121"/>
      <c r="P8" s="3121"/>
      <c r="Q8" s="3121"/>
      <c r="R8" s="3121"/>
    </row>
    <row r="9" spans="1:18" ht="81">
      <c r="A9" s="3126"/>
      <c r="B9" s="3129" t="s">
        <v>1644</v>
      </c>
      <c r="C9" s="3371" t="s">
        <v>3162</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19931</v>
      </c>
      <c r="C5" s="3181">
        <f ca="1">ROUND(B5*10000/$B$1,0)</f>
        <v>6470</v>
      </c>
      <c r="D5" s="3181">
        <f ca="1">ROUND(B5*10000/$B$2,0)</f>
        <v>36234</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19931</v>
      </c>
      <c r="E14" s="3187">
        <f ca="1">ROUND(D14*10000/B14,0)</f>
        <v>6470</v>
      </c>
      <c r="F14" s="3187">
        <f ca="1">ROUND(D14*10000/C14,0)</f>
        <v>36234</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89" t="s">
        <v>3073</v>
      </c>
      <c r="B1" s="3489"/>
      <c r="C1" s="3489"/>
      <c r="D1" s="3489"/>
    </row>
    <row r="2" spans="1:4" ht="28.5">
      <c r="A2" s="3329"/>
      <c r="B2" s="3329" t="s">
        <v>3041</v>
      </c>
      <c r="C2" s="3329" t="s">
        <v>3042</v>
      </c>
      <c r="D2" s="3329" t="s">
        <v>3043</v>
      </c>
    </row>
    <row r="3" spans="1:4" ht="39" customHeight="1">
      <c r="A3" s="3329" t="s">
        <v>3044</v>
      </c>
      <c r="B3" s="3329">
        <f ca="1">土储要求测算表!J11</f>
        <v>14328</v>
      </c>
      <c r="C3" s="3329" t="s">
        <v>3045</v>
      </c>
      <c r="D3" s="3329" t="s">
        <v>3045</v>
      </c>
    </row>
    <row r="4" spans="1:4" ht="39" customHeight="1">
      <c r="A4" s="3329" t="s">
        <v>3046</v>
      </c>
      <c r="B4" s="3329">
        <f ca="1">土储要求测算表!J12</f>
        <v>12940</v>
      </c>
      <c r="C4" s="3329">
        <f>土储要求测算表!H9</f>
        <v>15401.814</v>
      </c>
      <c r="D4" s="3329">
        <f ca="1">ROUND(B4*C4/10000,2)</f>
        <v>19929.95</v>
      </c>
    </row>
    <row r="5" spans="1:4" ht="14.25">
      <c r="A5" s="3329" t="s">
        <v>3047</v>
      </c>
      <c r="B5" s="3329" t="s">
        <v>3048</v>
      </c>
      <c r="C5" s="3329">
        <f>C4</f>
        <v>15401.814</v>
      </c>
      <c r="D5" s="3330">
        <f ca="1">D4</f>
        <v>19929.95</v>
      </c>
    </row>
    <row r="6" spans="1:4" ht="14.25">
      <c r="A6" s="3331"/>
      <c r="B6" s="3331"/>
      <c r="C6" s="3331"/>
      <c r="D6" s="3331"/>
    </row>
    <row r="7" spans="1:4" ht="28.5">
      <c r="A7" s="3329"/>
      <c r="B7" s="3329" t="s">
        <v>3049</v>
      </c>
      <c r="C7" s="3329" t="s">
        <v>3050</v>
      </c>
      <c r="D7" s="3329" t="s">
        <v>3043</v>
      </c>
    </row>
    <row r="8" spans="1:4" ht="28.5">
      <c r="A8" s="3329" t="s">
        <v>3052</v>
      </c>
      <c r="B8" s="3329">
        <f ca="1">ROUND(B3*0.25,0)</f>
        <v>3582</v>
      </c>
      <c r="C8" s="3329" t="str">
        <f>C3</f>
        <v>——</v>
      </c>
      <c r="D8" s="3329" t="str">
        <f>D3</f>
        <v>——</v>
      </c>
    </row>
    <row r="9" spans="1:4" ht="28.5">
      <c r="A9" s="3329" t="s">
        <v>3053</v>
      </c>
      <c r="B9" s="3329">
        <f ca="1">ROUND(B4*0.25,0)</f>
        <v>3235</v>
      </c>
      <c r="C9" s="3329">
        <f>C4</f>
        <v>15401.814</v>
      </c>
      <c r="D9" s="3329">
        <f ca="1">ROUND(B9*C9/10000,2)</f>
        <v>4982.49</v>
      </c>
    </row>
    <row r="10" spans="1:4" ht="28.5">
      <c r="A10" s="3329" t="s">
        <v>3051</v>
      </c>
      <c r="B10" s="3329" t="s">
        <v>3048</v>
      </c>
      <c r="C10" s="3329">
        <f>C9</f>
        <v>15401.814</v>
      </c>
      <c r="D10" s="3330">
        <f ca="1">D9</f>
        <v>4982.49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FF0000"/>
  </sheetPr>
  <dimension ref="A1:P20"/>
  <sheetViews>
    <sheetView tabSelected="1" workbookViewId="0">
      <selection activeCell="L2" sqref="L2"/>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0" t="s">
        <v>3171</v>
      </c>
      <c r="B1" s="3490"/>
      <c r="C1" s="3490"/>
      <c r="D1" s="3490"/>
      <c r="E1" s="3490"/>
      <c r="F1" s="3490"/>
      <c r="G1" s="3490"/>
      <c r="H1" s="3490"/>
      <c r="I1" s="3491"/>
      <c r="J1" s="3490"/>
      <c r="K1" s="3491"/>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2" t="s">
        <v>3032</v>
      </c>
      <c r="B5" s="3492"/>
      <c r="C5" s="3492"/>
      <c r="D5" s="3492"/>
      <c r="E5" s="3492"/>
      <c r="F5" s="3492"/>
      <c r="G5" s="3492"/>
      <c r="H5" s="3492"/>
      <c r="I5" s="3492"/>
      <c r="J5" s="3492" t="s">
        <v>3008</v>
      </c>
      <c r="K5" s="3492"/>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29347</v>
      </c>
      <c r="C8" s="3299">
        <v>0</v>
      </c>
      <c r="D8" s="3298">
        <v>0</v>
      </c>
      <c r="E8" s="3298">
        <v>0</v>
      </c>
      <c r="F8" s="3298">
        <v>0</v>
      </c>
      <c r="G8" s="3298">
        <v>0</v>
      </c>
      <c r="H8" s="3299">
        <v>0</v>
      </c>
      <c r="I8" s="3301">
        <f t="shared" ref="I8:I9" ca="1" si="2">B8</f>
        <v>29347</v>
      </c>
      <c r="J8" s="3305">
        <f ca="1">剩余法商业!C37</f>
        <v>14389</v>
      </c>
      <c r="K8" s="3303">
        <f t="shared" ca="1" si="1"/>
        <v>3597.25</v>
      </c>
    </row>
    <row r="9" spans="1:16" s="3281" customFormat="1" ht="14.25">
      <c r="A9" s="3283" t="s">
        <v>3020</v>
      </c>
      <c r="B9" s="3298">
        <f ca="1">剩余法办公!C8</f>
        <v>26164</v>
      </c>
      <c r="C9" s="3306">
        <f>H9</f>
        <v>15401.814</v>
      </c>
      <c r="D9" s="3300">
        <v>0</v>
      </c>
      <c r="E9" s="3306">
        <v>0</v>
      </c>
      <c r="F9" s="3306">
        <v>0</v>
      </c>
      <c r="G9" s="3306">
        <v>0</v>
      </c>
      <c r="H9" s="3306">
        <f>'数据-汇总表'!F20</f>
        <v>15401.814</v>
      </c>
      <c r="I9" s="3301">
        <f t="shared" ca="1" si="2"/>
        <v>26164</v>
      </c>
      <c r="J9" s="3305">
        <f ca="1">剩余法办公!C37</f>
        <v>12955</v>
      </c>
      <c r="K9" s="3303">
        <f t="shared" ca="1" si="1"/>
        <v>3238.75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0.3</v>
      </c>
      <c r="D11" s="3310">
        <f ca="1">J8</f>
        <v>14389</v>
      </c>
      <c r="E11" s="3311">
        <f t="shared" ref="E11:E12" si="3">1-C11</f>
        <v>0.7</v>
      </c>
      <c r="F11" s="3300"/>
      <c r="G11" s="3311"/>
      <c r="H11" s="3306">
        <v>0</v>
      </c>
      <c r="I11" s="3312">
        <v>0</v>
      </c>
      <c r="J11" s="3305">
        <f ca="1">ROUND(B11*C11+D11*E11,0)</f>
        <v>14328</v>
      </c>
      <c r="K11" s="3313">
        <f ca="1">ROUND(J11*0.25,0)</f>
        <v>3582</v>
      </c>
      <c r="L11" s="3314"/>
      <c r="M11" s="3314">
        <v>12385</v>
      </c>
      <c r="N11" s="3314"/>
      <c r="O11" s="3314"/>
    </row>
    <row r="12" spans="1:16" s="3281" customFormat="1" ht="14.25">
      <c r="A12" s="3283" t="s">
        <v>1665</v>
      </c>
      <c r="B12" s="3309">
        <f ca="1">J4</f>
        <v>12906</v>
      </c>
      <c r="C12" s="3394">
        <v>0.3</v>
      </c>
      <c r="D12" s="3310">
        <f ca="1">J9</f>
        <v>12955</v>
      </c>
      <c r="E12" s="3311">
        <f t="shared" si="3"/>
        <v>0.7</v>
      </c>
      <c r="F12" s="3300"/>
      <c r="G12" s="3311"/>
      <c r="H12" s="3306">
        <f>H9</f>
        <v>15401.814</v>
      </c>
      <c r="I12" s="3312">
        <f ca="1">ROUND(J12*H12/10000,2)</f>
        <v>19929.95</v>
      </c>
      <c r="J12" s="3305">
        <f ca="1">ROUND(B12*C12+D12*E12,0)</f>
        <v>12940</v>
      </c>
      <c r="K12" s="3313">
        <f ca="1">ROUND(J12*0.25,0)</f>
        <v>3235</v>
      </c>
      <c r="L12" s="3377">
        <f ca="1">K12*H12/10000</f>
        <v>4982.4868289999995</v>
      </c>
      <c r="M12" s="3377">
        <v>11192</v>
      </c>
      <c r="N12" s="3377"/>
      <c r="P12" s="3315"/>
    </row>
    <row r="13" spans="1:16" s="3281" customFormat="1" ht="14.25">
      <c r="A13" s="3316" t="s">
        <v>3026</v>
      </c>
      <c r="B13" s="3317"/>
      <c r="C13" s="3317"/>
      <c r="D13" s="3317"/>
      <c r="E13" s="3317"/>
      <c r="F13" s="3317"/>
      <c r="G13" s="3317"/>
      <c r="H13" s="3317"/>
      <c r="I13" s="3318">
        <f ca="1">I12</f>
        <v>19929.95</v>
      </c>
      <c r="J13" s="3317"/>
      <c r="K13" s="3319"/>
    </row>
    <row r="14" spans="1:16" s="3281" customFormat="1" ht="14.25">
      <c r="A14" s="3285" t="s">
        <v>3029</v>
      </c>
      <c r="B14" s="3320"/>
      <c r="C14" s="3320"/>
      <c r="D14" s="3320"/>
      <c r="E14" s="3320"/>
      <c r="F14" s="3320"/>
      <c r="G14" s="3320"/>
      <c r="H14" s="3320"/>
      <c r="I14" s="3312">
        <f ca="1">ROUND(K12*H12/10000,2)</f>
        <v>4982.49</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13281.81</v>
      </c>
      <c r="J16" s="3320"/>
      <c r="K16" s="3321"/>
    </row>
    <row r="17" spans="9:11" s="3323" customFormat="1">
      <c r="I17" s="3324"/>
      <c r="J17" s="3324"/>
      <c r="K17" s="3325"/>
    </row>
    <row r="19" spans="9:11">
      <c r="I19" s="3327">
        <v>199429</v>
      </c>
    </row>
    <row r="20" spans="9:11">
      <c r="I20" s="3376">
        <f ca="1">L12</f>
        <v>4982.4868289999995</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37" t="str">
        <f>项目基本情况!K2</f>
        <v>北京市国有建设用地使用权</v>
      </c>
      <c r="B2" s="3538"/>
      <c r="C2" s="3539"/>
      <c r="D2" s="3539"/>
      <c r="E2" s="3539"/>
      <c r="F2" s="3539"/>
      <c r="G2" s="3538"/>
      <c r="H2" s="3538"/>
      <c r="I2" s="3540"/>
      <c r="J2" s="1910"/>
      <c r="K2" s="1909"/>
      <c r="L2" s="1909"/>
      <c r="M2" s="1909"/>
      <c r="N2" s="1909"/>
      <c r="O2" s="1909"/>
      <c r="P2" s="1909"/>
      <c r="Q2" s="1909"/>
      <c r="R2" s="1909"/>
      <c r="S2" s="1909"/>
      <c r="T2" s="1909"/>
      <c r="U2" s="1909"/>
      <c r="V2" s="1909"/>
    </row>
    <row r="3" spans="1:22" ht="14.25">
      <c r="A3" s="3548" t="s">
        <v>296</v>
      </c>
      <c r="B3" s="3549"/>
      <c r="C3" s="3549"/>
      <c r="D3" s="3549"/>
      <c r="E3" s="3549"/>
      <c r="F3" s="3549"/>
      <c r="G3" s="3549"/>
      <c r="H3" s="3549"/>
      <c r="I3" s="3549"/>
      <c r="J3" s="1910"/>
      <c r="K3" s="1909"/>
      <c r="L3" s="1909"/>
      <c r="M3" s="1909"/>
      <c r="N3" s="1909"/>
      <c r="O3" s="1909"/>
      <c r="P3" s="1909"/>
      <c r="Q3" s="1909"/>
      <c r="R3" s="1909"/>
      <c r="S3" s="1909"/>
      <c r="T3" s="1909"/>
      <c r="U3" s="1909"/>
      <c r="V3" s="1909"/>
    </row>
    <row r="4" spans="1:22" ht="14.25">
      <c r="A4" s="254" t="s">
        <v>297</v>
      </c>
      <c r="B4" s="255" t="s">
        <v>298</v>
      </c>
      <c r="C4" s="256" t="s">
        <v>3159</v>
      </c>
      <c r="D4" s="256" t="s">
        <v>3160</v>
      </c>
      <c r="E4" s="3512" t="s">
        <v>299</v>
      </c>
      <c r="F4" s="3554"/>
      <c r="G4" s="3554"/>
      <c r="H4" s="3554"/>
      <c r="I4" s="3513"/>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541" t="s">
        <v>300</v>
      </c>
      <c r="B5" s="3542">
        <v>25</v>
      </c>
      <c r="C5" s="3550">
        <v>3</v>
      </c>
      <c r="D5" s="3553">
        <v>7</v>
      </c>
      <c r="E5" s="257" t="s">
        <v>301</v>
      </c>
      <c r="F5" s="258"/>
      <c r="G5" s="258"/>
      <c r="H5" s="258"/>
      <c r="I5" s="259"/>
      <c r="J5" s="1910"/>
      <c r="K5" s="1909"/>
      <c r="L5" s="1909"/>
      <c r="M5" s="1909"/>
      <c r="N5" s="1909"/>
      <c r="O5" s="1909"/>
      <c r="P5" s="1909"/>
      <c r="Q5" s="1909"/>
      <c r="R5" s="1909"/>
      <c r="S5" s="1909"/>
      <c r="T5" s="1909"/>
      <c r="U5" s="1909"/>
      <c r="V5" s="1909"/>
    </row>
    <row r="6" spans="1:22" ht="14.25">
      <c r="A6" s="3541"/>
      <c r="B6" s="3542"/>
      <c r="C6" s="3551"/>
      <c r="D6" s="3553"/>
      <c r="E6" s="257" t="s">
        <v>302</v>
      </c>
      <c r="F6" s="258"/>
      <c r="G6" s="258"/>
      <c r="H6" s="258"/>
      <c r="I6" s="259"/>
      <c r="J6" s="1910"/>
      <c r="K6" s="1909"/>
      <c r="L6" s="1909"/>
      <c r="M6" s="1909"/>
      <c r="N6" s="1909"/>
      <c r="O6" s="1909"/>
      <c r="P6" s="1909"/>
      <c r="Q6" s="1909"/>
      <c r="R6" s="1909"/>
      <c r="S6" s="1909"/>
      <c r="T6" s="1909"/>
      <c r="U6" s="1909"/>
      <c r="V6" s="1909"/>
    </row>
    <row r="7" spans="1:22" ht="14.25">
      <c r="A7" s="3541"/>
      <c r="B7" s="3542"/>
      <c r="C7" s="3552"/>
      <c r="D7" s="3553"/>
      <c r="E7" s="257" t="s">
        <v>303</v>
      </c>
      <c r="F7" s="258"/>
      <c r="G7" s="258"/>
      <c r="H7" s="258"/>
      <c r="I7" s="259"/>
      <c r="J7" s="1910"/>
      <c r="K7" s="1909"/>
      <c r="L7" s="1909"/>
      <c r="M7" s="1909"/>
      <c r="N7" s="1909"/>
      <c r="O7" s="1909"/>
      <c r="P7" s="1909"/>
      <c r="Q7" s="1909"/>
      <c r="R7" s="1909"/>
      <c r="S7" s="1909"/>
      <c r="T7" s="1909"/>
      <c r="U7" s="1909"/>
      <c r="V7" s="1909"/>
    </row>
    <row r="8" spans="1:22" ht="14.25">
      <c r="A8" s="3541" t="s">
        <v>304</v>
      </c>
      <c r="B8" s="3542">
        <v>15</v>
      </c>
      <c r="C8" s="3550"/>
      <c r="D8" s="3553"/>
      <c r="E8" s="257" t="s">
        <v>305</v>
      </c>
      <c r="F8" s="258"/>
      <c r="G8" s="258"/>
      <c r="H8" s="258"/>
      <c r="I8" s="259"/>
      <c r="J8" s="1910"/>
      <c r="K8" s="1909"/>
      <c r="L8" s="1909"/>
      <c r="M8" s="1909"/>
      <c r="N8" s="1909"/>
      <c r="O8" s="1909"/>
      <c r="P8" s="1909"/>
      <c r="Q8" s="1909"/>
      <c r="R8" s="1909"/>
      <c r="S8" s="1909"/>
      <c r="T8" s="1909"/>
      <c r="U8" s="1909"/>
      <c r="V8" s="1909"/>
    </row>
    <row r="9" spans="1:22" ht="14.25">
      <c r="A9" s="3541"/>
      <c r="B9" s="3542"/>
      <c r="C9" s="3552"/>
      <c r="D9" s="3553"/>
      <c r="E9" s="257" t="s">
        <v>306</v>
      </c>
      <c r="F9" s="258"/>
      <c r="G9" s="258"/>
      <c r="H9" s="258"/>
      <c r="I9" s="259"/>
      <c r="J9" s="1910"/>
      <c r="K9" s="1909"/>
      <c r="L9" s="1909"/>
      <c r="M9" s="1909"/>
      <c r="N9" s="1909"/>
      <c r="O9" s="1909"/>
      <c r="P9" s="1909"/>
      <c r="Q9" s="1909"/>
      <c r="R9" s="1909"/>
      <c r="S9" s="1909"/>
      <c r="T9" s="1909"/>
      <c r="U9" s="1909"/>
      <c r="V9" s="1909"/>
    </row>
    <row r="10" spans="1:22" ht="14.25">
      <c r="A10" s="3541" t="s">
        <v>307</v>
      </c>
      <c r="B10" s="3542">
        <v>15</v>
      </c>
      <c r="C10" s="3550"/>
      <c r="D10" s="3553"/>
      <c r="E10" s="257" t="s">
        <v>308</v>
      </c>
      <c r="F10" s="258"/>
      <c r="G10" s="258"/>
      <c r="H10" s="258"/>
      <c r="I10" s="259"/>
      <c r="J10" s="1910"/>
      <c r="K10" s="1909"/>
      <c r="L10" s="1909"/>
      <c r="M10" s="1909"/>
      <c r="N10" s="1909"/>
      <c r="O10" s="1909"/>
      <c r="P10" s="1909"/>
      <c r="Q10" s="1909"/>
      <c r="R10" s="1909"/>
      <c r="S10" s="1909"/>
      <c r="T10" s="1909"/>
      <c r="U10" s="1909"/>
      <c r="V10" s="1909"/>
    </row>
    <row r="11" spans="1:22" ht="14.25">
      <c r="A11" s="3541"/>
      <c r="B11" s="3542"/>
      <c r="C11" s="3552"/>
      <c r="D11" s="3553"/>
      <c r="E11" s="257" t="s">
        <v>309</v>
      </c>
      <c r="F11" s="258"/>
      <c r="G11" s="258"/>
      <c r="H11" s="258"/>
      <c r="I11" s="259"/>
      <c r="J11" s="1910"/>
      <c r="K11" s="1909"/>
      <c r="L11" s="1909"/>
      <c r="M11" s="1909"/>
      <c r="N11" s="1909"/>
      <c r="O11" s="1909"/>
      <c r="P11" s="1909"/>
      <c r="Q11" s="1909"/>
      <c r="R11" s="1909"/>
      <c r="S11" s="1909"/>
      <c r="T11" s="1909"/>
      <c r="U11" s="1909"/>
      <c r="V11" s="1909"/>
    </row>
    <row r="12" spans="1:22" ht="14.25">
      <c r="A12" s="3541" t="s">
        <v>310</v>
      </c>
      <c r="B12" s="3542">
        <v>15</v>
      </c>
      <c r="C12" s="3550"/>
      <c r="D12" s="3553"/>
      <c r="E12" s="257" t="s">
        <v>311</v>
      </c>
      <c r="F12" s="258"/>
      <c r="G12" s="258"/>
      <c r="H12" s="258"/>
      <c r="I12" s="259"/>
      <c r="J12" s="1910"/>
      <c r="K12" s="1909"/>
      <c r="L12" s="1909"/>
      <c r="M12" s="1909"/>
      <c r="N12" s="1909"/>
      <c r="O12" s="1909"/>
      <c r="P12" s="1909"/>
      <c r="Q12" s="1909"/>
      <c r="R12" s="1909"/>
      <c r="S12" s="1909"/>
      <c r="T12" s="1909"/>
      <c r="U12" s="1909"/>
      <c r="V12" s="1909"/>
    </row>
    <row r="13" spans="1:22" ht="14.25">
      <c r="A13" s="3541"/>
      <c r="B13" s="3542"/>
      <c r="C13" s="3552"/>
      <c r="D13" s="3553"/>
      <c r="E13" s="257" t="s">
        <v>312</v>
      </c>
      <c r="F13" s="258"/>
      <c r="G13" s="258"/>
      <c r="H13" s="258"/>
      <c r="I13" s="259"/>
      <c r="J13" s="1910"/>
      <c r="K13" s="1909"/>
      <c r="L13" s="1909"/>
      <c r="M13" s="1909"/>
      <c r="N13" s="1909"/>
      <c r="O13" s="1909"/>
      <c r="P13" s="1909"/>
      <c r="Q13" s="1909"/>
      <c r="R13" s="1909"/>
      <c r="S13" s="1909"/>
      <c r="T13" s="1909"/>
      <c r="U13" s="1909"/>
      <c r="V13" s="1909"/>
    </row>
    <row r="14" spans="1:22" ht="14.25">
      <c r="A14" s="3541" t="s">
        <v>313</v>
      </c>
      <c r="B14" s="3542">
        <v>30</v>
      </c>
      <c r="C14" s="3550"/>
      <c r="D14" s="3553"/>
      <c r="E14" s="257" t="s">
        <v>314</v>
      </c>
      <c r="F14" s="258"/>
      <c r="G14" s="258"/>
      <c r="H14" s="258"/>
      <c r="I14" s="259"/>
      <c r="J14" s="1910"/>
      <c r="K14" s="1909"/>
      <c r="L14" s="1909"/>
      <c r="M14" s="1909"/>
      <c r="N14" s="1909"/>
      <c r="O14" s="1909"/>
      <c r="P14" s="1909"/>
      <c r="Q14" s="1909"/>
      <c r="R14" s="1909"/>
      <c r="S14" s="1909"/>
      <c r="T14" s="1909"/>
      <c r="U14" s="1909"/>
      <c r="V14" s="1909"/>
    </row>
    <row r="15" spans="1:22" ht="14.25">
      <c r="A15" s="3541"/>
      <c r="B15" s="3542"/>
      <c r="C15" s="3551"/>
      <c r="D15" s="3553"/>
      <c r="E15" s="257" t="s">
        <v>315</v>
      </c>
      <c r="F15" s="258"/>
      <c r="G15" s="258"/>
      <c r="H15" s="258"/>
      <c r="I15" s="259"/>
      <c r="J15" s="1910"/>
      <c r="K15" s="1909"/>
      <c r="L15" s="1909"/>
      <c r="M15" s="1909"/>
      <c r="N15" s="1909"/>
      <c r="O15" s="1909"/>
      <c r="P15" s="1909"/>
      <c r="Q15" s="1909"/>
      <c r="R15" s="1909"/>
      <c r="S15" s="1909"/>
      <c r="T15" s="1909"/>
      <c r="U15" s="1909"/>
      <c r="V15" s="1909"/>
    </row>
    <row r="16" spans="1:22" ht="14.25">
      <c r="A16" s="3541"/>
      <c r="B16" s="3542"/>
      <c r="C16" s="3552"/>
      <c r="D16" s="3553"/>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55" t="s">
        <v>2956</v>
      </c>
      <c r="F18" s="3556"/>
      <c r="G18" s="3556"/>
      <c r="H18" s="3556"/>
      <c r="I18" s="3556"/>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19953</v>
      </c>
      <c r="E19" s="264" t="s">
        <v>321</v>
      </c>
      <c r="F19" s="265" t="s">
        <v>320</v>
      </c>
      <c r="G19" s="268">
        <f ca="1">ROUND(C19*$C$18+D19*$D$18,0)</f>
        <v>19931</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12955</v>
      </c>
      <c r="E20" s="270"/>
      <c r="F20" s="271" t="s">
        <v>323</v>
      </c>
      <c r="G20" s="274">
        <f ca="1">ROUND(C20*$C$18+D20*$D$18,0)</f>
        <v>12940</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72548</v>
      </c>
      <c r="E21" s="270"/>
      <c r="F21" s="276" t="s">
        <v>325</v>
      </c>
      <c r="G21" s="278">
        <f ca="1">ROUND(C21*$C$18+D21*$D$18,0)</f>
        <v>61625</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3.7730153939028455E-3</v>
      </c>
      <c r="E22" s="280"/>
      <c r="F22" s="281"/>
      <c r="G22" s="282">
        <f ca="1">ROUND(G19/('数据-汇总表'!D3/666.67),0)</f>
        <v>2416</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14"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61"/>
      <c r="B25" s="1273" t="s">
        <v>329</v>
      </c>
      <c r="C25" s="286">
        <f>IF(B30=0,0,C30)</f>
        <v>0</v>
      </c>
      <c r="D25" s="287"/>
      <c r="E25" s="307"/>
      <c r="F25" s="307"/>
      <c r="G25" s="307"/>
      <c r="H25" s="307"/>
      <c r="I25" s="307"/>
      <c r="J25" s="1909"/>
      <c r="K25" s="1207" t="str">
        <f ca="1">项目基本情况!B16&amp;"国有建设用地使用权价格："&amp;O38&amp;"万元"</f>
        <v>国有建设用地使用权价格：19931万元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大写金额：人民币壹亿玖仟玖佰叁拾壹万元整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单位面积地价：36234元/平方米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楼面地价：6470元/平方米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57" t="s">
        <v>2958</v>
      </c>
      <c r="B31" s="3557"/>
      <c r="C31" s="3557"/>
      <c r="D31" s="3557"/>
      <c r="E31" s="3557"/>
      <c r="F31" s="3557"/>
      <c r="G31" s="3557"/>
      <c r="H31" s="3557"/>
      <c r="I31" s="3557"/>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19931</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6470</v>
      </c>
      <c r="D33" s="1332" t="s">
        <v>1679</v>
      </c>
      <c r="E33" s="3514"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36234</v>
      </c>
      <c r="D34" s="1334" t="s">
        <v>1679</v>
      </c>
      <c r="E34" s="3515"/>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2416</v>
      </c>
      <c r="D35" s="1337" t="s">
        <v>1681</v>
      </c>
      <c r="E35" s="3516"/>
      <c r="F35" s="297" t="s">
        <v>340</v>
      </c>
      <c r="G35" s="968"/>
      <c r="H35" s="967" t="s">
        <v>341</v>
      </c>
      <c r="I35" s="307"/>
      <c r="J35" s="1909"/>
      <c r="K35" s="3520" t="s">
        <v>348</v>
      </c>
      <c r="L35" s="3520" t="s">
        <v>349</v>
      </c>
      <c r="M35" s="1216" t="s">
        <v>350</v>
      </c>
      <c r="N35" s="3520" t="s">
        <v>351</v>
      </c>
      <c r="O35" s="3520" t="s">
        <v>352</v>
      </c>
      <c r="P35" s="1909"/>
      <c r="V35" s="1909"/>
    </row>
    <row r="36" spans="1:26" ht="16.5" customHeight="1">
      <c r="A36" s="299" t="s">
        <v>342</v>
      </c>
      <c r="B36" s="300" t="s">
        <v>331</v>
      </c>
      <c r="C36" s="301" t="s">
        <v>343</v>
      </c>
      <c r="D36" s="301" t="s">
        <v>344</v>
      </c>
      <c r="E36" s="302" t="s">
        <v>345</v>
      </c>
      <c r="F36" s="307"/>
      <c r="G36" s="307"/>
      <c r="H36" s="307"/>
      <c r="I36" s="307"/>
      <c r="J36" s="1911"/>
      <c r="K36" s="3521"/>
      <c r="L36" s="3521"/>
      <c r="M36" s="1218" t="s">
        <v>353</v>
      </c>
      <c r="N36" s="3521"/>
      <c r="O36" s="3521"/>
      <c r="P36" s="1909"/>
      <c r="V36" s="1909"/>
    </row>
    <row r="37" spans="1:26" ht="16.5" customHeight="1" thickBot="1">
      <c r="A37" s="1212" t="s">
        <v>346</v>
      </c>
      <c r="B37" s="303"/>
      <c r="C37" s="290"/>
      <c r="D37" s="290"/>
      <c r="E37" s="291"/>
      <c r="F37" s="307"/>
      <c r="G37" s="307"/>
      <c r="H37" s="307"/>
      <c r="I37" s="307"/>
      <c r="J37" s="1911"/>
      <c r="K37" s="3522"/>
      <c r="L37" s="3522"/>
      <c r="M37" s="1219"/>
      <c r="N37" s="3522"/>
      <c r="O37" s="3522"/>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36234</v>
      </c>
      <c r="N38" s="1221">
        <f ca="1">C33</f>
        <v>6470</v>
      </c>
      <c r="O38" s="1222">
        <f ca="1">C32</f>
        <v>19931</v>
      </c>
      <c r="P38" s="1909"/>
      <c r="V38" s="1909"/>
    </row>
    <row r="39" spans="1:26" ht="16.5" customHeight="1" thickBot="1">
      <c r="A39" s="1217"/>
      <c r="B39" s="304"/>
      <c r="C39" s="305"/>
      <c r="D39" s="305"/>
      <c r="E39" s="306"/>
      <c r="F39" s="307"/>
      <c r="G39" s="307"/>
      <c r="H39" s="307"/>
      <c r="I39" s="307"/>
      <c r="J39" s="1911"/>
      <c r="K39" s="3533" t="str">
        <f>MID(A44,3,LEN(A44)-2)</f>
        <v/>
      </c>
      <c r="L39" s="3534"/>
      <c r="M39" s="3534"/>
      <c r="N39" s="3535"/>
      <c r="O39" s="1339" t="str">
        <f>C44</f>
        <v>——</v>
      </c>
      <c r="P39" s="1909"/>
      <c r="V39" s="1909"/>
    </row>
    <row r="40" spans="1:26" ht="19.5" thickBot="1">
      <c r="A40" s="103" t="s">
        <v>862</v>
      </c>
      <c r="B40" s="307"/>
      <c r="C40" s="307"/>
      <c r="D40" s="307"/>
      <c r="E40" s="307"/>
      <c r="F40" s="307"/>
      <c r="G40" s="307"/>
      <c r="H40" s="307"/>
      <c r="I40" s="307"/>
      <c r="J40" s="1911"/>
      <c r="K40" s="3533" t="str">
        <f t="shared" ref="K40:K41" si="0">MID(A45,3,LEN(A45)-2)</f>
        <v/>
      </c>
      <c r="L40" s="3534"/>
      <c r="M40" s="3534"/>
      <c r="N40" s="3535"/>
      <c r="O40" s="1339" t="str">
        <f>C45</f>
        <v>——</v>
      </c>
      <c r="P40" s="1909"/>
      <c r="V40" s="1909"/>
    </row>
    <row r="41" spans="1:26" ht="16.5" thickBot="1">
      <c r="A41" s="308" t="s">
        <v>354</v>
      </c>
      <c r="B41" s="309"/>
      <c r="C41" s="310" t="s">
        <v>355</v>
      </c>
      <c r="D41" s="311" t="s">
        <v>356</v>
      </c>
      <c r="E41" s="311" t="s">
        <v>357</v>
      </c>
      <c r="F41" s="312" t="s">
        <v>358</v>
      </c>
      <c r="G41" s="307"/>
      <c r="H41" s="307"/>
      <c r="I41" s="307"/>
      <c r="J41" s="1911"/>
      <c r="K41" s="3533" t="str">
        <f t="shared" si="0"/>
        <v/>
      </c>
      <c r="L41" s="3534"/>
      <c r="M41" s="3534"/>
      <c r="N41" s="3535"/>
      <c r="O41" s="1339" t="str">
        <f>C46</f>
        <v>——</v>
      </c>
      <c r="P41" s="1909"/>
      <c r="V41" s="1909"/>
    </row>
    <row r="42" spans="1:26" ht="29.25">
      <c r="A42" s="3562" t="s">
        <v>2053</v>
      </c>
      <c r="B42" s="3563"/>
      <c r="C42" s="260">
        <f ca="1">C32</f>
        <v>19931</v>
      </c>
      <c r="D42" s="313">
        <f ca="1">C33</f>
        <v>6470</v>
      </c>
      <c r="E42" s="313">
        <f ca="1">C34</f>
        <v>36234</v>
      </c>
      <c r="F42" s="314">
        <f ca="1">C35</f>
        <v>2416</v>
      </c>
      <c r="G42" s="307"/>
      <c r="H42" s="307"/>
      <c r="I42" s="315"/>
      <c r="J42" s="1911"/>
      <c r="K42" s="1223" t="s">
        <v>359</v>
      </c>
      <c r="L42" s="1928" t="s">
        <v>360</v>
      </c>
      <c r="M42" s="1224" t="s">
        <v>361</v>
      </c>
      <c r="N42" s="1929" t="s">
        <v>362</v>
      </c>
      <c r="O42" s="1930" t="s">
        <v>363</v>
      </c>
      <c r="P42" s="1909"/>
      <c r="V42" s="1909"/>
    </row>
    <row r="43" spans="1:26" ht="30">
      <c r="A43" s="3572" t="s">
        <v>2708</v>
      </c>
      <c r="B43" s="3573"/>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19931</v>
      </c>
      <c r="O43" s="1229">
        <f ca="1">IF(O42="最终结果/万元",C32,C33)</f>
        <v>19931</v>
      </c>
      <c r="P43" s="1909"/>
      <c r="V43" s="1909"/>
    </row>
    <row r="44" spans="1:26" ht="18.75" thickBot="1">
      <c r="A44" s="3562" t="str">
        <f>IF(OR(项目基本情况!E8="抵押价格",项目基本情况!E8="已注销及未注销"),"3.抵押价格","——")</f>
        <v>——</v>
      </c>
      <c r="B44" s="3563"/>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19953</v>
      </c>
      <c r="M44" s="1232">
        <f>D18</f>
        <v>0.7</v>
      </c>
      <c r="N44" s="1233"/>
      <c r="O44" s="1234"/>
      <c r="P44" s="1909"/>
      <c r="V44" s="1909"/>
    </row>
    <row r="45" spans="1:26" ht="15">
      <c r="A45" s="3567" t="str">
        <f>IF(项目基本情况!E8="已注销及未注销","4.抵押担保权已注销时的抵押价格",IF(项目基本情况!E8="已注销","3.抵押担保权已注销时的抵押价格","——"))</f>
        <v>——</v>
      </c>
      <c r="B45" s="3568"/>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64" t="str">
        <f>IF(项目基本情况!E9="抵押净值",IF(A45="——","4.抵押净值","5.抵押净值"),"——")</f>
        <v>——</v>
      </c>
      <c r="B46" s="3565"/>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25" t="s">
        <v>372</v>
      </c>
      <c r="B63" s="3526"/>
      <c r="C63" s="3527"/>
      <c r="D63" s="337">
        <f ca="1">ROUND(C42*F63,0)</f>
        <v>19931</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69" t="s">
        <v>376</v>
      </c>
      <c r="B64" s="3570"/>
      <c r="C64" s="3570"/>
      <c r="D64" s="3570"/>
      <c r="E64" s="3570"/>
      <c r="F64" s="3570"/>
      <c r="G64" s="3571"/>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66" t="s">
        <v>384</v>
      </c>
      <c r="B66" s="3532"/>
      <c r="C66" s="3532"/>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493" t="s">
        <v>383</v>
      </c>
      <c r="M66" s="3494"/>
      <c r="N66" s="2310"/>
      <c r="O66" s="2311"/>
      <c r="P66" s="2312"/>
      <c r="Q66" s="1909"/>
      <c r="R66" s="1909"/>
      <c r="S66" s="1909"/>
      <c r="T66" s="1909"/>
      <c r="U66" s="1909"/>
      <c r="V66" s="1909"/>
    </row>
    <row r="67" spans="1:22" ht="25.5" customHeight="1">
      <c r="A67" s="348" t="s">
        <v>387</v>
      </c>
      <c r="B67" s="3544" t="s">
        <v>388</v>
      </c>
      <c r="C67" s="3544"/>
      <c r="D67" s="349">
        <v>0</v>
      </c>
      <c r="E67" s="40" t="s">
        <v>389</v>
      </c>
      <c r="F67" s="61" t="s">
        <v>21</v>
      </c>
      <c r="G67" s="3528"/>
      <c r="H67" s="3004" t="s">
        <v>2959</v>
      </c>
      <c r="I67" s="3006"/>
      <c r="J67" s="1916"/>
      <c r="K67" s="1888">
        <v>2</v>
      </c>
      <c r="L67" s="3498" t="s">
        <v>386</v>
      </c>
      <c r="M67" s="3498"/>
      <c r="N67" s="1277">
        <f>'数据-取费表'!B2</f>
        <v>44424</v>
      </c>
      <c r="O67" s="1277"/>
      <c r="P67" s="1277"/>
      <c r="Q67" s="1909"/>
      <c r="R67" s="1909"/>
      <c r="S67" s="1909"/>
      <c r="T67" s="1909"/>
      <c r="U67" s="1909"/>
      <c r="V67" s="1909"/>
    </row>
    <row r="68" spans="1:22" ht="25.5" customHeight="1">
      <c r="A68" s="350"/>
      <c r="B68" s="3544" t="s">
        <v>391</v>
      </c>
      <c r="C68" s="3544"/>
      <c r="D68" s="351"/>
      <c r="E68" s="76"/>
      <c r="F68" s="352"/>
      <c r="G68" s="3529"/>
      <c r="H68" s="3005" t="s">
        <v>2960</v>
      </c>
      <c r="I68" s="3006"/>
      <c r="J68" s="1916"/>
      <c r="K68" s="1888">
        <v>3</v>
      </c>
      <c r="L68" s="3498" t="s">
        <v>390</v>
      </c>
      <c r="M68" s="3498"/>
      <c r="N68" s="1245">
        <f ca="1">C42</f>
        <v>19931</v>
      </c>
      <c r="O68" s="1245"/>
      <c r="P68" s="1245"/>
      <c r="Q68" s="1909"/>
      <c r="R68" s="1909"/>
      <c r="S68" s="1909"/>
      <c r="T68" s="1909"/>
      <c r="U68" s="1909"/>
      <c r="V68" s="1909"/>
    </row>
    <row r="69" spans="1:22" ht="23.45" customHeight="1">
      <c r="A69" s="353"/>
      <c r="B69" s="3544" t="s">
        <v>392</v>
      </c>
      <c r="C69" s="3544"/>
      <c r="D69" s="354"/>
      <c r="E69" s="72"/>
      <c r="F69" s="352"/>
      <c r="G69" s="3530"/>
      <c r="H69" s="3005" t="s">
        <v>2961</v>
      </c>
      <c r="I69" s="3006"/>
      <c r="J69" s="1916"/>
      <c r="K69" s="1246">
        <v>4</v>
      </c>
      <c r="L69" s="3499" t="s">
        <v>2860</v>
      </c>
      <c r="M69" s="3500"/>
      <c r="N69" s="1247" t="str">
        <f>C44</f>
        <v>——</v>
      </c>
      <c r="O69" s="1247"/>
      <c r="P69" s="1247"/>
      <c r="Q69" s="1909"/>
      <c r="R69" s="1909"/>
      <c r="S69" s="1909"/>
      <c r="T69" s="1909"/>
      <c r="U69" s="1909"/>
      <c r="V69" s="1909"/>
    </row>
    <row r="70" spans="1:22" ht="24" customHeight="1">
      <c r="A70" s="355" t="s">
        <v>393</v>
      </c>
      <c r="B70" s="3544" t="s">
        <v>394</v>
      </c>
      <c r="C70" s="3544"/>
      <c r="D70" s="354">
        <f ca="1">ROUND(D63*'数据-取费表'!B41/(1+'数据-取费表'!C42),0)</f>
        <v>1044</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543" t="s">
        <v>2990</v>
      </c>
      <c r="C71" s="3560"/>
      <c r="D71" s="354">
        <f ca="1">ROUND(D63*'数据-取费表'!B41/(1+'数据-取费表'!C42),0)</f>
        <v>1044</v>
      </c>
      <c r="E71" s="17" t="s">
        <v>395</v>
      </c>
      <c r="F71" s="356">
        <f>'数据-取费表'!B41</f>
        <v>5.5000000000000007E-2</v>
      </c>
      <c r="G71" s="357"/>
      <c r="H71" s="307"/>
      <c r="I71" s="1244"/>
      <c r="J71" s="1916"/>
      <c r="K71" s="2762" t="s">
        <v>396</v>
      </c>
      <c r="L71" s="3501" t="s">
        <v>397</v>
      </c>
      <c r="M71" s="3501"/>
      <c r="N71" s="2762" t="s">
        <v>398</v>
      </c>
      <c r="O71" s="2762" t="s">
        <v>399</v>
      </c>
      <c r="P71" s="2762" t="s">
        <v>400</v>
      </c>
      <c r="Q71" s="1909"/>
      <c r="R71" s="1909"/>
      <c r="S71" s="1909"/>
      <c r="T71" s="1909"/>
      <c r="U71" s="1909"/>
      <c r="V71" s="1909"/>
    </row>
    <row r="72" spans="1:22" ht="12" customHeight="1">
      <c r="A72" s="355" t="s">
        <v>403</v>
      </c>
      <c r="B72" s="3543" t="s">
        <v>2991</v>
      </c>
      <c r="C72" s="3560"/>
      <c r="D72" s="354">
        <f ca="1">C86</f>
        <v>1044</v>
      </c>
      <c r="E72" s="72" t="s">
        <v>404</v>
      </c>
      <c r="F72" s="356">
        <f>'数据-取费表'!B41</f>
        <v>5.5000000000000007E-2</v>
      </c>
      <c r="G72" s="357"/>
      <c r="H72" s="1250"/>
      <c r="I72" s="1244"/>
      <c r="J72" s="1916"/>
      <c r="K72" s="1888">
        <v>1</v>
      </c>
      <c r="L72" s="3497" t="s">
        <v>402</v>
      </c>
      <c r="M72" s="3497"/>
      <c r="N72" s="1248" t="b">
        <f>D66</f>
        <v>0</v>
      </c>
      <c r="O72" s="1771" t="str">
        <f>E66</f>
        <v>销售额×税（费）率</v>
      </c>
      <c r="P72" s="1249">
        <f>F66</f>
        <v>5.5000000000000007E-2</v>
      </c>
      <c r="Q72" s="1909"/>
      <c r="R72" s="1909"/>
      <c r="S72" s="1909"/>
      <c r="T72" s="1909"/>
      <c r="U72" s="1909"/>
      <c r="V72" s="1909"/>
    </row>
    <row r="73" spans="1:22" ht="24" customHeight="1">
      <c r="A73" s="3531" t="s">
        <v>406</v>
      </c>
      <c r="B73" s="3532"/>
      <c r="C73" s="3532"/>
      <c r="D73" s="358">
        <f ca="1">IF(H73="个人住宅",0,ROUND(D63*I73,0))</f>
        <v>10</v>
      </c>
      <c r="E73" s="17" t="s">
        <v>407</v>
      </c>
      <c r="F73" s="356" t="str">
        <f>IF(H73="正常",I73,"免征")</f>
        <v>免征</v>
      </c>
      <c r="G73" s="357"/>
      <c r="H73" s="188"/>
      <c r="I73" s="356">
        <f>'数据-取费表'!B49</f>
        <v>5.0000000000000001E-4</v>
      </c>
      <c r="J73" s="1916"/>
      <c r="K73" s="1888">
        <v>2</v>
      </c>
      <c r="L73" s="3497" t="s">
        <v>405</v>
      </c>
      <c r="M73" s="3497"/>
      <c r="N73" s="1248">
        <f t="shared" ref="N73:P74" ca="1" si="1">D73</f>
        <v>10</v>
      </c>
      <c r="O73" s="1771" t="str">
        <f t="shared" si="1"/>
        <v>销售额×税（费）率</v>
      </c>
      <c r="P73" s="1249" t="str">
        <f t="shared" si="1"/>
        <v>免征</v>
      </c>
      <c r="Q73" s="1909"/>
      <c r="R73" s="1909"/>
      <c r="S73" s="1909"/>
      <c r="T73" s="1909"/>
      <c r="U73" s="1909"/>
      <c r="V73" s="1909"/>
    </row>
    <row r="74" spans="1:22" ht="24.75">
      <c r="A74" s="3531" t="s">
        <v>409</v>
      </c>
      <c r="B74" s="3532"/>
      <c r="C74" s="3532"/>
      <c r="D74" s="358">
        <f ca="1">IF(H74="个人住宅",D75,D76)</f>
        <v>11299</v>
      </c>
      <c r="E74" s="17" t="s">
        <v>410</v>
      </c>
      <c r="F74" s="356" t="str">
        <f>IF(H74="正常",F76,"免征")</f>
        <v>免征</v>
      </c>
      <c r="G74" s="969" t="s">
        <v>411</v>
      </c>
      <c r="H74" s="359"/>
      <c r="I74" s="41"/>
      <c r="J74" s="1916"/>
      <c r="K74" s="1888">
        <v>3</v>
      </c>
      <c r="L74" s="3497" t="s">
        <v>408</v>
      </c>
      <c r="M74" s="3497"/>
      <c r="N74" s="1248">
        <f t="shared" ca="1" si="1"/>
        <v>11299</v>
      </c>
      <c r="O74" s="1771" t="str">
        <f t="shared" si="1"/>
        <v>增值额×税（费）率</v>
      </c>
      <c r="P74" s="1251" t="str">
        <f t="shared" si="1"/>
        <v>免征</v>
      </c>
      <c r="Q74" s="1909"/>
      <c r="R74" s="1909"/>
      <c r="S74" s="1909"/>
      <c r="T74" s="1909"/>
      <c r="U74" s="1909"/>
      <c r="V74" s="1909"/>
    </row>
    <row r="75" spans="1:22" ht="12.75">
      <c r="A75" s="355" t="s">
        <v>412</v>
      </c>
      <c r="B75" s="3512" t="s">
        <v>413</v>
      </c>
      <c r="C75" s="3513"/>
      <c r="D75" s="360">
        <v>0</v>
      </c>
      <c r="E75" s="40" t="s">
        <v>414</v>
      </c>
      <c r="F75" s="361"/>
      <c r="G75" s="357"/>
      <c r="H75" s="41"/>
      <c r="I75" s="41"/>
      <c r="J75" s="1916"/>
      <c r="K75" s="2756">
        <f>IF(H77="非个人房产","",4)</f>
        <v>4</v>
      </c>
      <c r="L75" s="3497" t="str">
        <f>IF(H77="非个人房产","——","个人所得税")</f>
        <v>个人所得税</v>
      </c>
      <c r="M75" s="3497"/>
      <c r="N75" s="1252">
        <f>D77</f>
        <v>0</v>
      </c>
      <c r="O75" s="1784" t="str">
        <f>E77</f>
        <v>差额计税</v>
      </c>
      <c r="P75" s="1253">
        <f>F77</f>
        <v>0.01</v>
      </c>
      <c r="Q75" s="1909"/>
      <c r="R75" s="1909"/>
      <c r="S75" s="1909"/>
      <c r="T75" s="1909"/>
      <c r="U75" s="1909"/>
      <c r="V75" s="1909"/>
    </row>
    <row r="76" spans="1:22" ht="24.75">
      <c r="A76" s="355" t="s">
        <v>393</v>
      </c>
      <c r="B76" s="3512" t="s">
        <v>416</v>
      </c>
      <c r="C76" s="3554"/>
      <c r="D76" s="358">
        <f ca="1">IF(H76="转让取得",C99,C115)</f>
        <v>11299</v>
      </c>
      <c r="E76" s="17" t="s">
        <v>417</v>
      </c>
      <c r="F76" s="52" t="s">
        <v>21</v>
      </c>
      <c r="G76" s="357"/>
      <c r="H76" s="359"/>
      <c r="I76" s="41"/>
      <c r="J76" s="1916"/>
      <c r="K76" s="2756" t="str">
        <f>IF(项目基本情况!K6="上海银行",IF(K75="",4,K75+1),"")</f>
        <v/>
      </c>
      <c r="L76" s="3508" t="str">
        <f>IF(项目基本情况!K6="上海银行","其他处置费用","")</f>
        <v/>
      </c>
      <c r="M76" s="3509"/>
      <c r="N76" s="1248" t="str">
        <f>IF(项目基本情况!K6="上海银行",N89,"")</f>
        <v/>
      </c>
      <c r="O76" s="3510" t="str">
        <f>IF(项目基本情况!K6="上海银行","包含处置中涉及的律师、诉讼、拍卖、评估等费用","")</f>
        <v/>
      </c>
      <c r="P76" s="3511"/>
      <c r="Q76" s="1909"/>
      <c r="R76" s="1909"/>
      <c r="S76" s="1909"/>
      <c r="T76" s="1909"/>
      <c r="U76" s="1909"/>
      <c r="V76" s="1909"/>
    </row>
    <row r="77" spans="1:22" ht="24.75" thickBot="1">
      <c r="A77" s="3523" t="s">
        <v>419</v>
      </c>
      <c r="B77" s="3524"/>
      <c r="C77" s="3524"/>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19">
        <f>IF(AND(K75="",K76=""),4,IF(项目基本情况!K6="上海银行",K76+1,K75+1))</f>
        <v>5</v>
      </c>
      <c r="L77" s="3497" t="s">
        <v>2861</v>
      </c>
      <c r="M77" s="2761" t="s">
        <v>415</v>
      </c>
      <c r="N77" s="1254"/>
      <c r="O77" s="1255">
        <f ca="1">SUMIF(N72:N76,"&lt;9e307")</f>
        <v>11309</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19"/>
      <c r="L78" s="3497"/>
      <c r="M78" s="2761" t="s">
        <v>418</v>
      </c>
      <c r="N78" s="1254"/>
      <c r="O78" s="1255" t="str">
        <f ca="1">NUMBERSTRING(INT(O77*10000),2)&amp;"元整"</f>
        <v>壹亿壹仟叁佰零玖万元整</v>
      </c>
      <c r="P78" s="1256"/>
      <c r="Q78" s="1909"/>
      <c r="R78" s="1909"/>
      <c r="S78" s="1909"/>
      <c r="T78" s="1909"/>
      <c r="U78" s="1909"/>
      <c r="V78" s="1909"/>
    </row>
    <row r="79" spans="1:22" ht="13.5" thickBot="1">
      <c r="A79" s="3574" t="s">
        <v>420</v>
      </c>
      <c r="B79" s="3574"/>
      <c r="C79" s="3574"/>
      <c r="D79" s="3574"/>
      <c r="E79" s="3574"/>
      <c r="F79" s="41"/>
      <c r="G79" s="41"/>
      <c r="H79" s="989"/>
      <c r="I79" s="307"/>
      <c r="J79" s="1916"/>
      <c r="K79" s="3495">
        <f>K77+1</f>
        <v>6</v>
      </c>
      <c r="L79" s="3497" t="s">
        <v>2862</v>
      </c>
      <c r="M79" s="2761" t="s">
        <v>415</v>
      </c>
      <c r="N79" s="1254"/>
      <c r="O79" s="1255" t="e">
        <f ca="1">N69-O77</f>
        <v>#VALUE!</v>
      </c>
      <c r="P79" s="1256"/>
      <c r="Q79" s="1909"/>
      <c r="R79" s="1909"/>
      <c r="S79" s="1909"/>
      <c r="T79" s="1909"/>
      <c r="U79" s="1909"/>
      <c r="V79" s="1909"/>
    </row>
    <row r="80" spans="1:22" ht="12.75">
      <c r="A80" s="3505" t="s">
        <v>421</v>
      </c>
      <c r="B80" s="3506"/>
      <c r="C80" s="980"/>
      <c r="D80" s="980" t="s">
        <v>422</v>
      </c>
      <c r="E80" s="362" t="s">
        <v>423</v>
      </c>
      <c r="F80" s="41"/>
      <c r="G80" s="41"/>
      <c r="H80" s="989"/>
      <c r="I80" s="307"/>
      <c r="J80" s="1909"/>
      <c r="K80" s="3496"/>
      <c r="L80" s="3497"/>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18982</v>
      </c>
      <c r="D81" s="365"/>
      <c r="E81" s="366"/>
      <c r="F81" s="41"/>
      <c r="G81" s="41"/>
      <c r="H81" s="989"/>
      <c r="I81" s="307"/>
      <c r="J81" s="1909"/>
      <c r="K81" s="2756">
        <f>K79+1</f>
        <v>7</v>
      </c>
      <c r="L81" s="3517" t="s">
        <v>2863</v>
      </c>
      <c r="M81" s="3518"/>
      <c r="N81" s="1258"/>
      <c r="O81" s="1259" t="e">
        <f ca="1">ROUND(O79*10000/'数据-汇总表'!E3,0)</f>
        <v>#VALUE!</v>
      </c>
      <c r="P81" s="1260"/>
      <c r="Q81" s="1909"/>
      <c r="R81" s="1909"/>
      <c r="S81" s="1909"/>
      <c r="T81" s="1909"/>
      <c r="U81" s="1909"/>
      <c r="V81" s="1909"/>
    </row>
    <row r="82" spans="1:26" ht="13.5" thickTop="1">
      <c r="A82" s="367" t="s">
        <v>1812</v>
      </c>
      <c r="B82" s="368" t="s">
        <v>425</v>
      </c>
      <c r="C82" s="369">
        <f ca="1">D63</f>
        <v>19931</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07"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07"/>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18982</v>
      </c>
      <c r="D85" s="370" t="s">
        <v>19</v>
      </c>
      <c r="E85" s="371"/>
      <c r="F85" s="41"/>
      <c r="G85" s="41"/>
      <c r="H85" s="989"/>
      <c r="I85" s="307"/>
      <c r="J85" s="1909"/>
      <c r="K85" s="3507"/>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1044</v>
      </c>
      <c r="D86" s="381">
        <f>'数据-取费表'!B41</f>
        <v>5.5000000000000007E-2</v>
      </c>
      <c r="E86" s="382"/>
      <c r="F86" s="41"/>
      <c r="G86" s="41"/>
      <c r="H86" s="989"/>
      <c r="I86" s="307"/>
      <c r="J86" s="1909"/>
      <c r="K86" s="3507"/>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07"/>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6" t="s">
        <v>430</v>
      </c>
      <c r="B88" s="3547"/>
      <c r="C88" s="3547"/>
      <c r="D88" s="3547"/>
      <c r="E88" s="3547"/>
      <c r="F88" s="3547"/>
      <c r="G88" s="3547"/>
      <c r="H88" s="3547"/>
      <c r="I88" s="1267"/>
      <c r="J88" s="1917"/>
      <c r="K88" s="3507"/>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05" t="s">
        <v>421</v>
      </c>
      <c r="B89" s="3506"/>
      <c r="C89" s="980"/>
      <c r="D89" s="980" t="s">
        <v>422</v>
      </c>
      <c r="E89" s="383" t="s">
        <v>431</v>
      </c>
      <c r="F89" s="384"/>
      <c r="G89" s="384"/>
      <c r="H89" s="385"/>
      <c r="I89" s="1268"/>
      <c r="J89" s="1919"/>
      <c r="K89" s="3507"/>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18982</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95</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543" t="s">
        <v>439</v>
      </c>
      <c r="F94" s="3544"/>
      <c r="G94" s="3544"/>
      <c r="H94" s="35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95</v>
      </c>
      <c r="D96" s="398">
        <f>'数据-取费表'!B43</f>
        <v>5.000000000000001E-3</v>
      </c>
      <c r="E96" s="3502" t="s">
        <v>2410</v>
      </c>
      <c r="F96" s="3503"/>
      <c r="G96" s="3503"/>
      <c r="H96" s="3504"/>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18887</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198.81052631578947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11299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6" t="s">
        <v>446</v>
      </c>
      <c r="B101" s="3547"/>
      <c r="C101" s="3547"/>
      <c r="D101" s="3547"/>
      <c r="E101" s="3547"/>
      <c r="F101" s="3547"/>
      <c r="G101" s="3547"/>
      <c r="H101" s="35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05" t="s">
        <v>421</v>
      </c>
      <c r="B102" s="3506"/>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18982</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95</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558" t="s">
        <v>2954</v>
      </c>
      <c r="H108" s="3559"/>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6" t="s">
        <v>454</v>
      </c>
      <c r="F109" s="3503"/>
      <c r="G109" s="3503"/>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6" t="s">
        <v>456</v>
      </c>
      <c r="F110" s="3503"/>
      <c r="G110" s="3503"/>
      <c r="H110" s="3504"/>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95</v>
      </c>
      <c r="D111" s="398">
        <f>'数据-取费表'!B43</f>
        <v>5.000000000000001E-3</v>
      </c>
      <c r="E111" s="3502" t="s">
        <v>2410</v>
      </c>
      <c r="F111" s="3503"/>
      <c r="G111" s="3503"/>
      <c r="H111" s="3504"/>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6" t="s">
        <v>2433</v>
      </c>
      <c r="F112" s="3503"/>
      <c r="G112" s="3503"/>
      <c r="H112" s="3504"/>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18887</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198.81052631578947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11299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398" t="str">
        <f>项目基本情况!B1</f>
        <v>北京市国有建设用地使用权预评估</v>
      </c>
      <c r="C37" s="3398"/>
      <c r="D37" s="3398"/>
      <c r="E37" s="3398"/>
      <c r="F37" s="3398"/>
      <c r="G37" s="3398"/>
      <c r="H37" s="3398"/>
      <c r="I37" s="3398"/>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5" zoomScale="80" zoomScaleNormal="80" zoomScaleSheetLayoutView="80" workbookViewId="0">
      <selection activeCell="E19" sqref="E1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22161</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14389</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80576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5372</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45199</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29347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45199</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452</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305</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305</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2368</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11281</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11281</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2582</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2582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22161</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14389</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E490"/>
  <sheetViews>
    <sheetView view="pageBreakPreview" topLeftCell="A7"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19953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12955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72548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4837</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40297</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26164</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40297</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403</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303</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303</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2111</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10973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10973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2140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2140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19953</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12955</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151</v>
      </c>
      <c r="D19" s="454"/>
      <c r="E19" s="454"/>
      <c r="F19" s="458">
        <f>'数据-取费表'!B37</f>
        <v>0.01</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0.01</v>
      </c>
      <c r="D20" s="461" t="s">
        <v>497</v>
      </c>
      <c r="E20" s="461"/>
      <c r="F20" s="478">
        <f>'数据-取费表'!B38</f>
        <v>0.01</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540</v>
      </c>
      <c r="D21" s="459">
        <f ca="1">C23</f>
        <v>4.0000000000000002E-4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540</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4.0000000000000002E-4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4271</v>
      </c>
      <c r="D24" s="481">
        <f ca="1">C26</f>
        <v>2.8E-3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4271</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2.8E-3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21473</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97" t="s">
        <v>514</v>
      </c>
      <c r="D6" s="3598"/>
      <c r="E6" s="3597" t="s">
        <v>515</v>
      </c>
      <c r="F6" s="3598"/>
      <c r="G6" s="3597" t="s">
        <v>516</v>
      </c>
      <c r="H6" s="3598"/>
      <c r="I6" s="3597" t="s">
        <v>517</v>
      </c>
      <c r="J6" s="3598"/>
      <c r="K6" s="506" t="s">
        <v>518</v>
      </c>
      <c r="L6" s="2013"/>
      <c r="M6" s="2012"/>
      <c r="N6" s="2012"/>
      <c r="O6" s="2014"/>
      <c r="P6" s="3599" t="s">
        <v>519</v>
      </c>
      <c r="Q6" s="3600"/>
      <c r="R6" s="3585" t="s">
        <v>515</v>
      </c>
      <c r="S6" s="3586"/>
      <c r="T6" s="3585" t="s">
        <v>516</v>
      </c>
      <c r="U6" s="3586"/>
      <c r="V6" s="3605" t="s">
        <v>517</v>
      </c>
      <c r="W6" s="3605"/>
      <c r="X6" s="1500"/>
      <c r="Y6" s="3585" t="s">
        <v>519</v>
      </c>
      <c r="Z6" s="3586"/>
      <c r="AA6" s="3580" t="s">
        <v>515</v>
      </c>
      <c r="AB6" s="3581" t="s">
        <v>516</v>
      </c>
      <c r="AC6" s="3580" t="s">
        <v>517</v>
      </c>
    </row>
    <row r="7" spans="1:30" ht="20.25">
      <c r="A7" s="507"/>
      <c r="B7" s="508"/>
      <c r="C7" s="3608" t="s">
        <v>2892</v>
      </c>
      <c r="D7" s="3609"/>
      <c r="E7" s="3608" t="s">
        <v>2893</v>
      </c>
      <c r="F7" s="3609"/>
      <c r="G7" s="3608" t="s">
        <v>2894</v>
      </c>
      <c r="H7" s="3609"/>
      <c r="I7" s="3608" t="s">
        <v>2895</v>
      </c>
      <c r="J7" s="3609"/>
      <c r="K7" s="506"/>
      <c r="L7" s="2013"/>
      <c r="M7" s="2012"/>
      <c r="N7" s="2012"/>
      <c r="O7" s="2014"/>
      <c r="P7" s="3601"/>
      <c r="Q7" s="3602"/>
      <c r="R7" s="3587"/>
      <c r="S7" s="3588"/>
      <c r="T7" s="3587"/>
      <c r="U7" s="3588"/>
      <c r="V7" s="3605"/>
      <c r="W7" s="3605"/>
      <c r="X7" s="1500"/>
      <c r="Y7" s="3587"/>
      <c r="Z7" s="3588"/>
      <c r="AA7" s="3581"/>
      <c r="AB7" s="3581"/>
      <c r="AC7" s="3581"/>
    </row>
    <row r="8" spans="1:30" ht="21" thickBot="1">
      <c r="A8" s="507"/>
      <c r="B8" s="508"/>
      <c r="C8" s="3610" t="s">
        <v>2896</v>
      </c>
      <c r="D8" s="3611"/>
      <c r="E8" s="3610" t="s">
        <v>2896</v>
      </c>
      <c r="F8" s="3611"/>
      <c r="G8" s="3606" t="s">
        <v>2896</v>
      </c>
      <c r="H8" s="3607"/>
      <c r="I8" s="3606" t="s">
        <v>2896</v>
      </c>
      <c r="J8" s="3607"/>
      <c r="K8" s="506" t="s">
        <v>520</v>
      </c>
      <c r="L8" s="2013"/>
      <c r="M8" s="2012"/>
      <c r="N8" s="2012"/>
      <c r="O8" s="2014"/>
      <c r="P8" s="3603"/>
      <c r="Q8" s="3604"/>
      <c r="R8" s="3587"/>
      <c r="S8" s="3588"/>
      <c r="T8" s="3589"/>
      <c r="U8" s="3590"/>
      <c r="V8" s="3605"/>
      <c r="W8" s="3605"/>
      <c r="X8" s="1500"/>
      <c r="Y8" s="3589"/>
      <c r="Z8" s="3590"/>
      <c r="AA8" s="3582"/>
      <c r="AB8" s="3582"/>
      <c r="AC8" s="3582"/>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583" t="s">
        <v>522</v>
      </c>
      <c r="Q9" s="3592"/>
      <c r="R9" s="1501" t="s">
        <v>8</v>
      </c>
      <c r="S9" s="1502">
        <f t="shared" ref="S9:S17" si="0">F9</f>
        <v>0</v>
      </c>
      <c r="T9" s="1501" t="s">
        <v>8</v>
      </c>
      <c r="U9" s="1502">
        <f t="shared" ref="U9:U17" si="1">H9</f>
        <v>0</v>
      </c>
      <c r="V9" s="1501" t="s">
        <v>8</v>
      </c>
      <c r="W9" s="1502">
        <f t="shared" ref="W9:W17" si="2">J9</f>
        <v>0</v>
      </c>
      <c r="X9" s="1503"/>
      <c r="Y9" s="3583" t="s">
        <v>522</v>
      </c>
      <c r="Z9" s="3584"/>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583" t="s">
        <v>525</v>
      </c>
      <c r="Q10" s="3584"/>
      <c r="R10" s="1501" t="s">
        <v>8</v>
      </c>
      <c r="S10" s="1502">
        <f t="shared" si="0"/>
        <v>0</v>
      </c>
      <c r="T10" s="1501" t="s">
        <v>8</v>
      </c>
      <c r="U10" s="1502">
        <f t="shared" si="1"/>
        <v>0</v>
      </c>
      <c r="V10" s="1501" t="s">
        <v>8</v>
      </c>
      <c r="W10" s="1502">
        <f t="shared" si="2"/>
        <v>0</v>
      </c>
      <c r="X10" s="1503"/>
      <c r="Y10" s="3583" t="s">
        <v>525</v>
      </c>
      <c r="Z10" s="3584"/>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91" t="s">
        <v>527</v>
      </c>
      <c r="Q11" s="1132" t="str">
        <f t="shared" ref="Q11:Q17" si="6">B11</f>
        <v>用途</v>
      </c>
      <c r="R11" s="1501" t="s">
        <v>8</v>
      </c>
      <c r="S11" s="1502">
        <f t="shared" si="0"/>
        <v>100</v>
      </c>
      <c r="T11" s="1501" t="s">
        <v>8</v>
      </c>
      <c r="U11" s="1502">
        <f t="shared" si="1"/>
        <v>100</v>
      </c>
      <c r="V11" s="1501" t="s">
        <v>8</v>
      </c>
      <c r="W11" s="1502">
        <f t="shared" si="2"/>
        <v>100</v>
      </c>
      <c r="X11" s="1503"/>
      <c r="Y11" s="3542"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91"/>
      <c r="Q12" s="1132" t="str">
        <f t="shared" si="6"/>
        <v>土地使用年限（年）</v>
      </c>
      <c r="R12" s="1501" t="s">
        <v>8</v>
      </c>
      <c r="S12" s="1502" t="e">
        <f t="shared" si="0"/>
        <v>#DIV/0!</v>
      </c>
      <c r="T12" s="1501" t="s">
        <v>8</v>
      </c>
      <c r="U12" s="1502" t="e">
        <f t="shared" si="1"/>
        <v>#DIV/0!</v>
      </c>
      <c r="V12" s="1501" t="s">
        <v>8</v>
      </c>
      <c r="W12" s="1502" t="e">
        <f t="shared" si="2"/>
        <v>#DIV/0!</v>
      </c>
      <c r="X12" s="1503"/>
      <c r="Y12" s="3542"/>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91"/>
      <c r="Q13" s="1132" t="str">
        <f t="shared" si="6"/>
        <v>容积率</v>
      </c>
      <c r="R13" s="1501" t="s">
        <v>8</v>
      </c>
      <c r="S13" s="1502" t="e">
        <f t="shared" si="0"/>
        <v>#N/A</v>
      </c>
      <c r="T13" s="1501" t="s">
        <v>8</v>
      </c>
      <c r="U13" s="1502" t="e">
        <f t="shared" si="1"/>
        <v>#N/A</v>
      </c>
      <c r="V13" s="1501" t="s">
        <v>8</v>
      </c>
      <c r="W13" s="1502" t="e">
        <f t="shared" si="2"/>
        <v>#N/A</v>
      </c>
      <c r="X13" s="1503"/>
      <c r="Y13" s="3542"/>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91"/>
      <c r="Q14" s="1132" t="str">
        <f t="shared" si="6"/>
        <v>配建</v>
      </c>
      <c r="R14" s="1501" t="s">
        <v>8</v>
      </c>
      <c r="S14" s="1502">
        <f t="shared" si="0"/>
        <v>100</v>
      </c>
      <c r="T14" s="1501" t="s">
        <v>8</v>
      </c>
      <c r="U14" s="1502">
        <f t="shared" si="1"/>
        <v>100</v>
      </c>
      <c r="V14" s="1501" t="s">
        <v>8</v>
      </c>
      <c r="W14" s="1502">
        <f t="shared" si="2"/>
        <v>100</v>
      </c>
      <c r="X14" s="1503"/>
      <c r="Y14" s="3542"/>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91"/>
      <c r="Q15" s="1132">
        <f t="shared" si="6"/>
        <v>111</v>
      </c>
      <c r="R15" s="1501" t="s">
        <v>8</v>
      </c>
      <c r="S15" s="1502">
        <f t="shared" si="0"/>
        <v>100</v>
      </c>
      <c r="T15" s="1501" t="s">
        <v>8</v>
      </c>
      <c r="U15" s="1502">
        <f t="shared" si="1"/>
        <v>100</v>
      </c>
      <c r="V15" s="1501" t="s">
        <v>8</v>
      </c>
      <c r="W15" s="1502">
        <f t="shared" si="2"/>
        <v>100</v>
      </c>
      <c r="X15" s="1503"/>
      <c r="Y15" s="3542"/>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91"/>
      <c r="Q16" s="1132">
        <f t="shared" si="6"/>
        <v>111</v>
      </c>
      <c r="R16" s="1501" t="s">
        <v>8</v>
      </c>
      <c r="S16" s="1502">
        <f t="shared" si="0"/>
        <v>100</v>
      </c>
      <c r="T16" s="1501" t="s">
        <v>8</v>
      </c>
      <c r="U16" s="1502">
        <f t="shared" si="1"/>
        <v>100</v>
      </c>
      <c r="V16" s="1501" t="s">
        <v>8</v>
      </c>
      <c r="W16" s="1502">
        <f t="shared" si="2"/>
        <v>100</v>
      </c>
      <c r="X16" s="1503"/>
      <c r="Y16" s="3542"/>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593" t="s">
        <v>532</v>
      </c>
      <c r="Q17" s="1505" t="str">
        <f t="shared" si="6"/>
        <v>居住社区成熟度</v>
      </c>
      <c r="R17" s="1506" t="s">
        <v>8</v>
      </c>
      <c r="S17" s="1507">
        <f t="shared" si="0"/>
        <v>100</v>
      </c>
      <c r="T17" s="1506" t="s">
        <v>8</v>
      </c>
      <c r="U17" s="1507">
        <f t="shared" si="1"/>
        <v>100</v>
      </c>
      <c r="V17" s="1506" t="s">
        <v>8</v>
      </c>
      <c r="W17" s="1507">
        <f t="shared" si="2"/>
        <v>100</v>
      </c>
      <c r="X17" s="1500"/>
      <c r="Y17" s="3593"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594"/>
      <c r="Q18" s="1505"/>
      <c r="R18" s="1506"/>
      <c r="S18" s="1507"/>
      <c r="T18" s="1506"/>
      <c r="U18" s="1507"/>
      <c r="V18" s="1506"/>
      <c r="W18" s="1507"/>
      <c r="X18" s="1500"/>
      <c r="Y18" s="3594"/>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594"/>
      <c r="Q19" s="1505" t="str">
        <f>B19</f>
        <v>商业繁华度</v>
      </c>
      <c r="R19" s="1506" t="s">
        <v>8</v>
      </c>
      <c r="S19" s="1507">
        <f>F19</f>
        <v>100</v>
      </c>
      <c r="T19" s="1506" t="s">
        <v>8</v>
      </c>
      <c r="U19" s="1507">
        <f>H19</f>
        <v>100</v>
      </c>
      <c r="V19" s="1506" t="s">
        <v>8</v>
      </c>
      <c r="W19" s="1507">
        <f>J19</f>
        <v>100</v>
      </c>
      <c r="X19" s="1500"/>
      <c r="Y19" s="3594"/>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594"/>
      <c r="Q20" s="1505"/>
      <c r="R20" s="1506"/>
      <c r="S20" s="1507"/>
      <c r="T20" s="1506"/>
      <c r="U20" s="1507"/>
      <c r="V20" s="1506"/>
      <c r="W20" s="1507"/>
      <c r="X20" s="1500"/>
      <c r="Y20" s="3594"/>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594"/>
      <c r="Q21" s="1505" t="str">
        <f>B21</f>
        <v>办公集聚程度</v>
      </c>
      <c r="R21" s="1506" t="s">
        <v>8</v>
      </c>
      <c r="S21" s="1507">
        <f>F21</f>
        <v>100</v>
      </c>
      <c r="T21" s="1506" t="s">
        <v>8</v>
      </c>
      <c r="U21" s="1507">
        <f>H21</f>
        <v>100</v>
      </c>
      <c r="V21" s="1506" t="s">
        <v>8</v>
      </c>
      <c r="W21" s="1507">
        <f>J21</f>
        <v>100</v>
      </c>
      <c r="X21" s="1500"/>
      <c r="Y21" s="3594"/>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594"/>
      <c r="Q22" s="1505"/>
      <c r="R22" s="1506"/>
      <c r="S22" s="1507"/>
      <c r="T22" s="1506"/>
      <c r="U22" s="1507"/>
      <c r="V22" s="1506"/>
      <c r="W22" s="1507"/>
      <c r="X22" s="1500"/>
      <c r="Y22" s="3594"/>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594"/>
      <c r="Q23" s="1505" t="str">
        <f>B23</f>
        <v>交通便捷度</v>
      </c>
      <c r="R23" s="1506" t="s">
        <v>8</v>
      </c>
      <c r="S23" s="1507">
        <f>F23</f>
        <v>100</v>
      </c>
      <c r="T23" s="1506" t="s">
        <v>8</v>
      </c>
      <c r="U23" s="1507">
        <f>H23</f>
        <v>100</v>
      </c>
      <c r="V23" s="1506" t="s">
        <v>8</v>
      </c>
      <c r="W23" s="1507">
        <f>J23</f>
        <v>100</v>
      </c>
      <c r="X23" s="1500"/>
      <c r="Y23" s="3594"/>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594"/>
      <c r="Q24" s="1505"/>
      <c r="R24" s="1506"/>
      <c r="S24" s="1507"/>
      <c r="T24" s="1506"/>
      <c r="U24" s="1507"/>
      <c r="V24" s="1506"/>
      <c r="W24" s="1507"/>
      <c r="X24" s="1500"/>
      <c r="Y24" s="3594"/>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594"/>
      <c r="Q25" s="1505" t="str">
        <f t="shared" ref="Q25:Q39" si="8">B25</f>
        <v>区域土地利用方向</v>
      </c>
      <c r="R25" s="1506" t="s">
        <v>8</v>
      </c>
      <c r="S25" s="1507">
        <f>F25</f>
        <v>100</v>
      </c>
      <c r="T25" s="1506" t="s">
        <v>8</v>
      </c>
      <c r="U25" s="1507">
        <f>H25</f>
        <v>100</v>
      </c>
      <c r="V25" s="1506" t="s">
        <v>8</v>
      </c>
      <c r="W25" s="1507">
        <f>J25</f>
        <v>100</v>
      </c>
      <c r="X25" s="1500"/>
      <c r="Y25" s="3594"/>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594"/>
      <c r="Q26" s="1505"/>
      <c r="R26" s="1506"/>
      <c r="S26" s="1507"/>
      <c r="T26" s="1506"/>
      <c r="U26" s="1507"/>
      <c r="V26" s="1506"/>
      <c r="W26" s="1507"/>
      <c r="X26" s="1500"/>
      <c r="Y26" s="3594"/>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594"/>
      <c r="Q27" s="1505" t="str">
        <f t="shared" si="8"/>
        <v>自然及人文环境状况</v>
      </c>
      <c r="R27" s="1506" t="s">
        <v>8</v>
      </c>
      <c r="S27" s="1507">
        <f>F27</f>
        <v>100</v>
      </c>
      <c r="T27" s="1506" t="s">
        <v>8</v>
      </c>
      <c r="U27" s="1507">
        <f>H27</f>
        <v>100</v>
      </c>
      <c r="V27" s="1506" t="s">
        <v>8</v>
      </c>
      <c r="W27" s="1507">
        <f>J27</f>
        <v>100</v>
      </c>
      <c r="X27" s="1500"/>
      <c r="Y27" s="3594"/>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594"/>
      <c r="Q28" s="1505"/>
      <c r="R28" s="1506"/>
      <c r="S28" s="1507"/>
      <c r="T28" s="1506"/>
      <c r="U28" s="1507"/>
      <c r="V28" s="1506"/>
      <c r="W28" s="1507"/>
      <c r="X28" s="1500"/>
      <c r="Y28" s="3594"/>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594"/>
      <c r="Q29" s="1132" t="str">
        <f t="shared" si="8"/>
        <v>公共配套设施</v>
      </c>
      <c r="R29" s="1501" t="s">
        <v>8</v>
      </c>
      <c r="S29" s="1502">
        <f>F29</f>
        <v>100</v>
      </c>
      <c r="T29" s="1501" t="s">
        <v>8</v>
      </c>
      <c r="U29" s="1502">
        <f>H29</f>
        <v>100</v>
      </c>
      <c r="V29" s="1501" t="s">
        <v>8</v>
      </c>
      <c r="W29" s="1502">
        <f>J29</f>
        <v>100</v>
      </c>
      <c r="X29" s="1503"/>
      <c r="Y29" s="3594"/>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594"/>
      <c r="Q30" s="1132"/>
      <c r="R30" s="1501"/>
      <c r="S30" s="1502"/>
      <c r="T30" s="1501"/>
      <c r="U30" s="1502"/>
      <c r="V30" s="1501"/>
      <c r="W30" s="1502"/>
      <c r="X30" s="1503"/>
      <c r="Y30" s="3594"/>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594"/>
      <c r="Q31" s="2426" t="str">
        <f t="shared" ref="Q31" si="9">B31</f>
        <v>基础设施水平</v>
      </c>
      <c r="R31" s="1501" t="s">
        <v>8</v>
      </c>
      <c r="S31" s="1502">
        <f>F31</f>
        <v>100</v>
      </c>
      <c r="T31" s="1501" t="s">
        <v>8</v>
      </c>
      <c r="U31" s="1502">
        <f>H31</f>
        <v>100</v>
      </c>
      <c r="V31" s="1501" t="s">
        <v>8</v>
      </c>
      <c r="W31" s="1502">
        <f>J31</f>
        <v>100</v>
      </c>
      <c r="X31" s="1503"/>
      <c r="Y31" s="3594"/>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594"/>
      <c r="Q32" s="2426"/>
      <c r="R32" s="1501"/>
      <c r="S32" s="1502"/>
      <c r="T32" s="1501"/>
      <c r="U32" s="1502"/>
      <c r="V32" s="1501"/>
      <c r="W32" s="1502"/>
      <c r="X32" s="1503"/>
      <c r="Y32" s="3594"/>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594"/>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94"/>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594"/>
      <c r="Q34" s="1505" t="str">
        <f t="shared" si="8"/>
        <v>毗邻道路的类型与等级</v>
      </c>
      <c r="R34" s="1506" t="s">
        <v>8</v>
      </c>
      <c r="S34" s="1507">
        <f t="shared" si="10"/>
        <v>100</v>
      </c>
      <c r="T34" s="1506" t="s">
        <v>8</v>
      </c>
      <c r="U34" s="1507">
        <f t="shared" si="11"/>
        <v>100</v>
      </c>
      <c r="V34" s="1506" t="s">
        <v>8</v>
      </c>
      <c r="W34" s="1507">
        <f t="shared" si="12"/>
        <v>100</v>
      </c>
      <c r="X34" s="1500"/>
      <c r="Y34" s="3594"/>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594"/>
      <c r="Q35" s="1505"/>
      <c r="R35" s="1506"/>
      <c r="S35" s="1507"/>
      <c r="T35" s="1506"/>
      <c r="U35" s="1507"/>
      <c r="V35" s="1506"/>
      <c r="W35" s="1507"/>
      <c r="X35" s="1500"/>
      <c r="Y35" s="3594"/>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594"/>
      <c r="Q36" s="1505" t="str">
        <f t="shared" si="8"/>
        <v>土地级别</v>
      </c>
      <c r="R36" s="1506" t="s">
        <v>8</v>
      </c>
      <c r="S36" s="1507">
        <f t="shared" si="10"/>
        <v>100</v>
      </c>
      <c r="T36" s="1506" t="s">
        <v>8</v>
      </c>
      <c r="U36" s="1507">
        <f t="shared" si="11"/>
        <v>100</v>
      </c>
      <c r="V36" s="1506" t="s">
        <v>8</v>
      </c>
      <c r="W36" s="1507">
        <f t="shared" si="12"/>
        <v>100</v>
      </c>
      <c r="X36" s="1500"/>
      <c r="Y36" s="3594"/>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594"/>
      <c r="Q37" s="1505">
        <f t="shared" si="8"/>
        <v>111</v>
      </c>
      <c r="R37" s="1506" t="s">
        <v>8</v>
      </c>
      <c r="S37" s="1507">
        <f t="shared" si="10"/>
        <v>100</v>
      </c>
      <c r="T37" s="1506" t="s">
        <v>8</v>
      </c>
      <c r="U37" s="1507">
        <f t="shared" si="11"/>
        <v>100</v>
      </c>
      <c r="V37" s="1506" t="s">
        <v>8</v>
      </c>
      <c r="W37" s="1507">
        <f t="shared" si="12"/>
        <v>100</v>
      </c>
      <c r="X37" s="1500"/>
      <c r="Y37" s="3594"/>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595" t="s">
        <v>542</v>
      </c>
      <c r="Q38" s="1505">
        <f t="shared" si="8"/>
        <v>111</v>
      </c>
      <c r="R38" s="1506" t="s">
        <v>8</v>
      </c>
      <c r="S38" s="1507">
        <f t="shared" si="10"/>
        <v>100</v>
      </c>
      <c r="T38" s="1506" t="s">
        <v>8</v>
      </c>
      <c r="U38" s="1507">
        <f t="shared" si="11"/>
        <v>100</v>
      </c>
      <c r="V38" s="1506" t="s">
        <v>8</v>
      </c>
      <c r="W38" s="1507">
        <f t="shared" si="12"/>
        <v>100</v>
      </c>
      <c r="X38" s="1500"/>
      <c r="Y38" s="3596"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596"/>
      <c r="Q39" s="1505">
        <f t="shared" si="8"/>
        <v>111</v>
      </c>
      <c r="R39" s="1510" t="s">
        <v>8</v>
      </c>
      <c r="S39" s="1511">
        <f t="shared" si="10"/>
        <v>100</v>
      </c>
      <c r="T39" s="1510" t="s">
        <v>8</v>
      </c>
      <c r="U39" s="1511">
        <f t="shared" si="11"/>
        <v>100</v>
      </c>
      <c r="V39" s="1510" t="s">
        <v>8</v>
      </c>
      <c r="W39" s="1511">
        <f t="shared" si="12"/>
        <v>100</v>
      </c>
      <c r="X39" s="1512"/>
      <c r="Y39" s="3596"/>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596"/>
      <c r="Q40" s="1505" t="str">
        <f>B40</f>
        <v>宗地面积</v>
      </c>
      <c r="R40" s="1506" t="s">
        <v>8</v>
      </c>
      <c r="S40" s="1507" t="e">
        <f t="shared" si="10"/>
        <v>#N/A</v>
      </c>
      <c r="T40" s="1506" t="s">
        <v>8</v>
      </c>
      <c r="U40" s="1507" t="e">
        <f t="shared" si="11"/>
        <v>#N/A</v>
      </c>
      <c r="V40" s="1506" t="s">
        <v>8</v>
      </c>
      <c r="W40" s="1507" t="e">
        <f t="shared" si="12"/>
        <v>#N/A</v>
      </c>
      <c r="X40" s="1500"/>
      <c r="Y40" s="3596"/>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596"/>
      <c r="Q41" s="1505" t="str">
        <f t="shared" ref="Q41:Q47" si="14">B41</f>
        <v>宗地形状</v>
      </c>
      <c r="R41" s="1506" t="s">
        <v>8</v>
      </c>
      <c r="S41" s="1507">
        <f t="shared" si="10"/>
        <v>100</v>
      </c>
      <c r="T41" s="1506" t="s">
        <v>8</v>
      </c>
      <c r="U41" s="1507">
        <f t="shared" si="11"/>
        <v>100</v>
      </c>
      <c r="V41" s="1506" t="s">
        <v>8</v>
      </c>
      <c r="W41" s="1507">
        <f t="shared" si="12"/>
        <v>100</v>
      </c>
      <c r="X41" s="1500"/>
      <c r="Y41" s="3596"/>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596"/>
      <c r="Q42" s="1505" t="str">
        <f t="shared" si="14"/>
        <v>临街宽度及深度</v>
      </c>
      <c r="R42" s="1506" t="s">
        <v>8</v>
      </c>
      <c r="S42" s="1507">
        <f t="shared" si="10"/>
        <v>100</v>
      </c>
      <c r="T42" s="1506" t="s">
        <v>8</v>
      </c>
      <c r="U42" s="1507">
        <f t="shared" si="11"/>
        <v>100</v>
      </c>
      <c r="V42" s="1506" t="s">
        <v>8</v>
      </c>
      <c r="W42" s="1507">
        <f t="shared" si="12"/>
        <v>100</v>
      </c>
      <c r="X42" s="1500"/>
      <c r="Y42" s="3596"/>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596"/>
      <c r="Q43" s="1505" t="str">
        <f t="shared" si="14"/>
        <v>宗地开发程度</v>
      </c>
      <c r="R43" s="1501" t="s">
        <v>8</v>
      </c>
      <c r="S43" s="1502">
        <f t="shared" si="10"/>
        <v>100</v>
      </c>
      <c r="T43" s="1501" t="s">
        <v>8</v>
      </c>
      <c r="U43" s="1502">
        <f t="shared" si="11"/>
        <v>100</v>
      </c>
      <c r="V43" s="1501" t="s">
        <v>8</v>
      </c>
      <c r="W43" s="1502">
        <f t="shared" si="12"/>
        <v>100</v>
      </c>
      <c r="X43" s="1503"/>
      <c r="Y43" s="3596"/>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596" t="s">
        <v>542</v>
      </c>
      <c r="Q44" s="1505" t="str">
        <f t="shared" si="14"/>
        <v>工程地质条件</v>
      </c>
      <c r="R44" s="1506" t="s">
        <v>8</v>
      </c>
      <c r="S44" s="1507">
        <f t="shared" si="10"/>
        <v>100</v>
      </c>
      <c r="T44" s="1506" t="s">
        <v>8</v>
      </c>
      <c r="U44" s="1507">
        <f t="shared" si="11"/>
        <v>100</v>
      </c>
      <c r="V44" s="1506" t="s">
        <v>8</v>
      </c>
      <c r="W44" s="1507">
        <f t="shared" si="12"/>
        <v>100</v>
      </c>
      <c r="X44" s="1500"/>
      <c r="Y44" s="3596"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596"/>
      <c r="Q45" s="1505">
        <f t="shared" si="14"/>
        <v>111</v>
      </c>
      <c r="R45" s="1506" t="s">
        <v>8</v>
      </c>
      <c r="S45" s="1507">
        <f t="shared" si="10"/>
        <v>100</v>
      </c>
      <c r="T45" s="1506" t="s">
        <v>8</v>
      </c>
      <c r="U45" s="1507">
        <f t="shared" si="11"/>
        <v>100</v>
      </c>
      <c r="V45" s="1506" t="s">
        <v>8</v>
      </c>
      <c r="W45" s="1507">
        <f t="shared" si="12"/>
        <v>100</v>
      </c>
      <c r="X45" s="1500"/>
      <c r="Y45" s="3596"/>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596"/>
      <c r="Q46" s="1505">
        <f t="shared" si="14"/>
        <v>111</v>
      </c>
      <c r="R46" s="1506" t="s">
        <v>8</v>
      </c>
      <c r="S46" s="1507">
        <f t="shared" si="10"/>
        <v>100</v>
      </c>
      <c r="T46" s="1506" t="s">
        <v>8</v>
      </c>
      <c r="U46" s="1507">
        <f t="shared" si="11"/>
        <v>100</v>
      </c>
      <c r="V46" s="1506" t="s">
        <v>8</v>
      </c>
      <c r="W46" s="1507">
        <f t="shared" si="12"/>
        <v>100</v>
      </c>
      <c r="X46" s="1500"/>
      <c r="Y46" s="3596"/>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596"/>
      <c r="Q47" s="1505">
        <f t="shared" si="14"/>
        <v>111</v>
      </c>
      <c r="R47" s="1510" t="s">
        <v>8</v>
      </c>
      <c r="S47" s="1511">
        <f t="shared" si="10"/>
        <v>100</v>
      </c>
      <c r="T47" s="1510" t="s">
        <v>8</v>
      </c>
      <c r="U47" s="1511">
        <f t="shared" si="11"/>
        <v>100</v>
      </c>
      <c r="V47" s="1510" t="s">
        <v>8</v>
      </c>
      <c r="W47" s="1511">
        <f t="shared" si="12"/>
        <v>100</v>
      </c>
      <c r="X47" s="1512"/>
      <c r="Y47" s="3596"/>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91" t="str">
        <f>A48</f>
        <v>成交单价</v>
      </c>
      <c r="Q48" s="3591"/>
      <c r="R48" s="3605">
        <f>E48</f>
        <v>0</v>
      </c>
      <c r="S48" s="3605"/>
      <c r="T48" s="3605">
        <f>G48</f>
        <v>0</v>
      </c>
      <c r="U48" s="3605"/>
      <c r="V48" s="3605">
        <f>I48</f>
        <v>0</v>
      </c>
      <c r="W48" s="3605"/>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91" t="str">
        <f>A49</f>
        <v>比较价格（元/平方米）</v>
      </c>
      <c r="Q49" s="3591"/>
      <c r="R49" s="3615" t="e">
        <f>ROUND(PRODUCT(R48,AA9:AA47),0)</f>
        <v>#DIV/0!</v>
      </c>
      <c r="S49" s="3615"/>
      <c r="T49" s="3615" t="e">
        <f>ROUND(PRODUCT(T48,AB9:AB47),0)</f>
        <v>#DIV/0!</v>
      </c>
      <c r="U49" s="3615"/>
      <c r="V49" s="3615" t="e">
        <f>ROUND(PRODUCT(V48,AC9:AC47),0)</f>
        <v>#DIV/0!</v>
      </c>
      <c r="W49" s="3615"/>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612" t="str">
        <f>A50</f>
        <v>估价对象XX用房的比较价格（楼面单价，元/平方米）</v>
      </c>
      <c r="Q50" s="3613"/>
      <c r="R50" s="3614" t="e">
        <f>ROUND(IF(D49="简单平均",AVERAGE(R49:W49),R49*F49+T49*H49+V49*J49),0)</f>
        <v>#DIV/0!</v>
      </c>
      <c r="S50" s="3614"/>
      <c r="T50" s="3614"/>
      <c r="U50" s="3614"/>
      <c r="V50" s="3614"/>
      <c r="W50" s="3614"/>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575" t="s">
        <v>2266</v>
      </c>
      <c r="H57" s="3576"/>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577"/>
      <c r="H58" s="3578"/>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579"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579"/>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579"/>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579"/>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97" t="s">
        <v>514</v>
      </c>
      <c r="D6" s="3598"/>
      <c r="E6" s="3622" t="s">
        <v>515</v>
      </c>
      <c r="F6" s="3623"/>
      <c r="G6" s="3597" t="s">
        <v>516</v>
      </c>
      <c r="H6" s="3598"/>
      <c r="I6" s="3597" t="s">
        <v>517</v>
      </c>
      <c r="J6" s="3598"/>
      <c r="K6" s="506" t="s">
        <v>518</v>
      </c>
      <c r="L6" s="2013"/>
      <c r="M6" s="2014"/>
      <c r="N6" s="2014"/>
      <c r="O6" s="2014"/>
      <c r="P6" s="3599" t="s">
        <v>519</v>
      </c>
      <c r="Q6" s="3600"/>
      <c r="R6" s="3585" t="s">
        <v>515</v>
      </c>
      <c r="S6" s="3586"/>
      <c r="T6" s="3585" t="s">
        <v>516</v>
      </c>
      <c r="U6" s="3586"/>
      <c r="V6" s="3605" t="s">
        <v>517</v>
      </c>
      <c r="W6" s="3605"/>
      <c r="X6" s="1500"/>
      <c r="Y6" s="3585" t="s">
        <v>519</v>
      </c>
      <c r="Z6" s="3586"/>
      <c r="AA6" s="3580" t="s">
        <v>515</v>
      </c>
      <c r="AB6" s="3581" t="s">
        <v>516</v>
      </c>
      <c r="AC6" s="3580" t="s">
        <v>517</v>
      </c>
    </row>
    <row r="7" spans="1:29" ht="15">
      <c r="A7" s="507"/>
      <c r="B7" s="508"/>
      <c r="C7" s="3608" t="s">
        <v>2892</v>
      </c>
      <c r="D7" s="3609"/>
      <c r="E7" s="3624" t="s">
        <v>2893</v>
      </c>
      <c r="F7" s="3625"/>
      <c r="G7" s="3608" t="s">
        <v>2894</v>
      </c>
      <c r="H7" s="3609"/>
      <c r="I7" s="3608" t="s">
        <v>2895</v>
      </c>
      <c r="J7" s="3609"/>
      <c r="K7" s="506"/>
      <c r="L7" s="2013"/>
      <c r="M7" s="2014"/>
      <c r="N7" s="2014"/>
      <c r="O7" s="2014"/>
      <c r="P7" s="3601"/>
      <c r="Q7" s="3602"/>
      <c r="R7" s="3587"/>
      <c r="S7" s="3588"/>
      <c r="T7" s="3587"/>
      <c r="U7" s="3588"/>
      <c r="V7" s="3605"/>
      <c r="W7" s="3605"/>
      <c r="X7" s="1500"/>
      <c r="Y7" s="3587"/>
      <c r="Z7" s="3588"/>
      <c r="AA7" s="3581"/>
      <c r="AB7" s="3581"/>
      <c r="AC7" s="3581"/>
    </row>
    <row r="8" spans="1:29" ht="15.75" thickBot="1">
      <c r="A8" s="509"/>
      <c r="B8" s="510"/>
      <c r="C8" s="3606" t="s">
        <v>2896</v>
      </c>
      <c r="D8" s="3607"/>
      <c r="E8" s="3626" t="s">
        <v>2896</v>
      </c>
      <c r="F8" s="3627"/>
      <c r="G8" s="3606" t="s">
        <v>2896</v>
      </c>
      <c r="H8" s="3607"/>
      <c r="I8" s="3606" t="s">
        <v>2896</v>
      </c>
      <c r="J8" s="3607"/>
      <c r="K8" s="506" t="s">
        <v>520</v>
      </c>
      <c r="L8" s="2013"/>
      <c r="M8" s="2014"/>
      <c r="N8" s="2014"/>
      <c r="O8" s="2014"/>
      <c r="P8" s="3603"/>
      <c r="Q8" s="3604"/>
      <c r="R8" s="3587"/>
      <c r="S8" s="3588"/>
      <c r="T8" s="3589"/>
      <c r="U8" s="3590"/>
      <c r="V8" s="3605"/>
      <c r="W8" s="3605"/>
      <c r="X8" s="1500"/>
      <c r="Y8" s="3589"/>
      <c r="Z8" s="3590"/>
      <c r="AA8" s="3582"/>
      <c r="AB8" s="3582"/>
      <c r="AC8" s="3582"/>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583" t="s">
        <v>522</v>
      </c>
      <c r="Q9" s="3592"/>
      <c r="R9" s="1501" t="s">
        <v>8</v>
      </c>
      <c r="S9" s="1502">
        <f t="shared" ref="S9:S17" si="0">F9</f>
        <v>0</v>
      </c>
      <c r="T9" s="1501" t="s">
        <v>8</v>
      </c>
      <c r="U9" s="1502">
        <f t="shared" ref="U9:U17" si="1">H9</f>
        <v>0</v>
      </c>
      <c r="V9" s="1501" t="s">
        <v>8</v>
      </c>
      <c r="W9" s="1502">
        <f t="shared" ref="W9:W17" si="2">J9</f>
        <v>0</v>
      </c>
      <c r="X9" s="1503"/>
      <c r="Y9" s="3583" t="s">
        <v>522</v>
      </c>
      <c r="Z9" s="3584"/>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583" t="s">
        <v>525</v>
      </c>
      <c r="Q10" s="3584"/>
      <c r="R10" s="1501" t="s">
        <v>8</v>
      </c>
      <c r="S10" s="1502">
        <f t="shared" si="0"/>
        <v>0</v>
      </c>
      <c r="T10" s="1501" t="s">
        <v>8</v>
      </c>
      <c r="U10" s="1502">
        <f t="shared" si="1"/>
        <v>0</v>
      </c>
      <c r="V10" s="1501" t="s">
        <v>8</v>
      </c>
      <c r="W10" s="1502">
        <f t="shared" si="2"/>
        <v>0</v>
      </c>
      <c r="X10" s="1503"/>
      <c r="Y10" s="3583" t="s">
        <v>525</v>
      </c>
      <c r="Z10" s="3584"/>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91" t="s">
        <v>527</v>
      </c>
      <c r="Q11" s="1132" t="str">
        <f t="shared" ref="Q11:Q17" si="6">B11</f>
        <v>用途</v>
      </c>
      <c r="R11" s="1501" t="s">
        <v>8</v>
      </c>
      <c r="S11" s="1502">
        <f t="shared" si="0"/>
        <v>100</v>
      </c>
      <c r="T11" s="1501" t="s">
        <v>8</v>
      </c>
      <c r="U11" s="1502">
        <f t="shared" si="1"/>
        <v>100</v>
      </c>
      <c r="V11" s="1501" t="s">
        <v>8</v>
      </c>
      <c r="W11" s="1502">
        <f t="shared" si="2"/>
        <v>100</v>
      </c>
      <c r="X11" s="1503"/>
      <c r="Y11" s="3542"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91"/>
      <c r="Q12" s="1132" t="str">
        <f t="shared" si="6"/>
        <v>土地使用年限（年）</v>
      </c>
      <c r="R12" s="1501" t="s">
        <v>8</v>
      </c>
      <c r="S12" s="1502" t="e">
        <f t="shared" si="0"/>
        <v>#DIV/0!</v>
      </c>
      <c r="T12" s="1501" t="s">
        <v>8</v>
      </c>
      <c r="U12" s="1502" t="e">
        <f t="shared" si="1"/>
        <v>#DIV/0!</v>
      </c>
      <c r="V12" s="1501" t="s">
        <v>8</v>
      </c>
      <c r="W12" s="1502" t="e">
        <f t="shared" si="2"/>
        <v>#DIV/0!</v>
      </c>
      <c r="X12" s="1503"/>
      <c r="Y12" s="3542"/>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91"/>
      <c r="Q13" s="1132" t="str">
        <f t="shared" si="6"/>
        <v>容积率</v>
      </c>
      <c r="R13" s="1501" t="s">
        <v>8</v>
      </c>
      <c r="S13" s="1502" t="e">
        <f t="shared" si="0"/>
        <v>#N/A</v>
      </c>
      <c r="T13" s="1501" t="s">
        <v>8</v>
      </c>
      <c r="U13" s="1502" t="e">
        <f t="shared" si="1"/>
        <v>#N/A</v>
      </c>
      <c r="V13" s="1501" t="s">
        <v>8</v>
      </c>
      <c r="W13" s="1502" t="e">
        <f t="shared" si="2"/>
        <v>#N/A</v>
      </c>
      <c r="X13" s="1503"/>
      <c r="Y13" s="3542"/>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91"/>
      <c r="Q14" s="1132">
        <f t="shared" si="6"/>
        <v>111</v>
      </c>
      <c r="R14" s="1501" t="s">
        <v>8</v>
      </c>
      <c r="S14" s="1502">
        <f t="shared" si="0"/>
        <v>100</v>
      </c>
      <c r="T14" s="1501" t="s">
        <v>8</v>
      </c>
      <c r="U14" s="1502">
        <f t="shared" si="1"/>
        <v>100</v>
      </c>
      <c r="V14" s="1501" t="s">
        <v>8</v>
      </c>
      <c r="W14" s="1502">
        <f t="shared" si="2"/>
        <v>100</v>
      </c>
      <c r="X14" s="1503"/>
      <c r="Y14" s="3542"/>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91"/>
      <c r="Q15" s="1132">
        <f t="shared" si="6"/>
        <v>111</v>
      </c>
      <c r="R15" s="1501" t="s">
        <v>8</v>
      </c>
      <c r="S15" s="1502">
        <f t="shared" si="0"/>
        <v>100</v>
      </c>
      <c r="T15" s="1501" t="s">
        <v>8</v>
      </c>
      <c r="U15" s="1502">
        <f t="shared" si="1"/>
        <v>100</v>
      </c>
      <c r="V15" s="1501" t="s">
        <v>8</v>
      </c>
      <c r="W15" s="1502">
        <f t="shared" si="2"/>
        <v>100</v>
      </c>
      <c r="X15" s="1503"/>
      <c r="Y15" s="3542"/>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91"/>
      <c r="Q16" s="1132">
        <f t="shared" si="6"/>
        <v>111</v>
      </c>
      <c r="R16" s="1501" t="s">
        <v>8</v>
      </c>
      <c r="S16" s="1502">
        <f t="shared" si="0"/>
        <v>100</v>
      </c>
      <c r="T16" s="1501" t="s">
        <v>8</v>
      </c>
      <c r="U16" s="1502">
        <f t="shared" si="1"/>
        <v>100</v>
      </c>
      <c r="V16" s="1501" t="s">
        <v>8</v>
      </c>
      <c r="W16" s="1502">
        <f t="shared" si="2"/>
        <v>100</v>
      </c>
      <c r="X16" s="1503"/>
      <c r="Y16" s="3542"/>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593" t="s">
        <v>532</v>
      </c>
      <c r="Q17" s="1505" t="str">
        <f t="shared" si="6"/>
        <v>产业集聚程度</v>
      </c>
      <c r="R17" s="1506" t="s">
        <v>8</v>
      </c>
      <c r="S17" s="1507">
        <f t="shared" si="0"/>
        <v>100</v>
      </c>
      <c r="T17" s="1506" t="s">
        <v>8</v>
      </c>
      <c r="U17" s="1507">
        <f t="shared" si="1"/>
        <v>100</v>
      </c>
      <c r="V17" s="1506" t="s">
        <v>8</v>
      </c>
      <c r="W17" s="1507">
        <f t="shared" si="2"/>
        <v>100</v>
      </c>
      <c r="X17" s="1500"/>
      <c r="Y17" s="3593"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594"/>
      <c r="Q18" s="1505"/>
      <c r="R18" s="1506"/>
      <c r="S18" s="1507"/>
      <c r="T18" s="1506"/>
      <c r="U18" s="1507"/>
      <c r="V18" s="1506"/>
      <c r="W18" s="1507"/>
      <c r="X18" s="1500"/>
      <c r="Y18" s="3594"/>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594"/>
      <c r="Q19" s="1505" t="str">
        <f>B19</f>
        <v>交通便捷度</v>
      </c>
      <c r="R19" s="1506" t="s">
        <v>8</v>
      </c>
      <c r="S19" s="1507">
        <f>F19</f>
        <v>100</v>
      </c>
      <c r="T19" s="1506" t="s">
        <v>8</v>
      </c>
      <c r="U19" s="1507">
        <f>H19</f>
        <v>100</v>
      </c>
      <c r="V19" s="1506" t="s">
        <v>8</v>
      </c>
      <c r="W19" s="1507">
        <f>J19</f>
        <v>100</v>
      </c>
      <c r="X19" s="1500"/>
      <c r="Y19" s="3594"/>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594"/>
      <c r="Q20" s="1505"/>
      <c r="R20" s="1506"/>
      <c r="S20" s="1507"/>
      <c r="T20" s="1506"/>
      <c r="U20" s="1507"/>
      <c r="V20" s="1506"/>
      <c r="W20" s="1507"/>
      <c r="X20" s="1500"/>
      <c r="Y20" s="3594"/>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594"/>
      <c r="Q21" s="1505" t="str">
        <f t="shared" ref="Q21:Q35" si="8">B21</f>
        <v>区域土地利用方向</v>
      </c>
      <c r="R21" s="1506" t="s">
        <v>8</v>
      </c>
      <c r="S21" s="1507">
        <f>F21</f>
        <v>100</v>
      </c>
      <c r="T21" s="1506" t="s">
        <v>8</v>
      </c>
      <c r="U21" s="1507">
        <f>H21</f>
        <v>100</v>
      </c>
      <c r="V21" s="1506" t="s">
        <v>8</v>
      </c>
      <c r="W21" s="1507">
        <f>J21</f>
        <v>100</v>
      </c>
      <c r="X21" s="1500"/>
      <c r="Y21" s="3594"/>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594"/>
      <c r="Q22" s="1505"/>
      <c r="R22" s="1506"/>
      <c r="S22" s="1507"/>
      <c r="T22" s="1506"/>
      <c r="U22" s="1507"/>
      <c r="V22" s="1506"/>
      <c r="W22" s="1507"/>
      <c r="X22" s="1500"/>
      <c r="Y22" s="3594"/>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594"/>
      <c r="Q23" s="1505" t="str">
        <f t="shared" si="8"/>
        <v>环境状况</v>
      </c>
      <c r="R23" s="1506" t="s">
        <v>8</v>
      </c>
      <c r="S23" s="1507">
        <f>F23</f>
        <v>100</v>
      </c>
      <c r="T23" s="1506" t="s">
        <v>8</v>
      </c>
      <c r="U23" s="1507">
        <f>H23</f>
        <v>100</v>
      </c>
      <c r="V23" s="1506" t="s">
        <v>8</v>
      </c>
      <c r="W23" s="1507">
        <f>J23</f>
        <v>100</v>
      </c>
      <c r="X23" s="1500"/>
      <c r="Y23" s="3594"/>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594"/>
      <c r="Q24" s="1505"/>
      <c r="R24" s="1506"/>
      <c r="S24" s="1507"/>
      <c r="T24" s="1506"/>
      <c r="U24" s="1507"/>
      <c r="V24" s="1506"/>
      <c r="W24" s="1507"/>
      <c r="X24" s="1500"/>
      <c r="Y24" s="3594"/>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594"/>
      <c r="Q25" s="1132" t="str">
        <f t="shared" si="8"/>
        <v>公共配套设施</v>
      </c>
      <c r="R25" s="1501" t="s">
        <v>8</v>
      </c>
      <c r="S25" s="1502">
        <f>F25</f>
        <v>100</v>
      </c>
      <c r="T25" s="1501" t="s">
        <v>8</v>
      </c>
      <c r="U25" s="1502">
        <f>H25</f>
        <v>100</v>
      </c>
      <c r="V25" s="1501" t="s">
        <v>8</v>
      </c>
      <c r="W25" s="1502">
        <f>J25</f>
        <v>100</v>
      </c>
      <c r="X25" s="1503"/>
      <c r="Y25" s="3594"/>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594"/>
      <c r="Q26" s="1132"/>
      <c r="R26" s="1501"/>
      <c r="S26" s="1502"/>
      <c r="T26" s="1501"/>
      <c r="U26" s="1502"/>
      <c r="V26" s="1501"/>
      <c r="W26" s="1502"/>
      <c r="X26" s="1503"/>
      <c r="Y26" s="3594"/>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594"/>
      <c r="Q27" s="2426" t="str">
        <f t="shared" ref="Q27" si="9">B27</f>
        <v>基础设施水平</v>
      </c>
      <c r="R27" s="1501" t="s">
        <v>8</v>
      </c>
      <c r="S27" s="1502">
        <f>F27</f>
        <v>100</v>
      </c>
      <c r="T27" s="1501" t="s">
        <v>8</v>
      </c>
      <c r="U27" s="1502">
        <f>H27</f>
        <v>100</v>
      </c>
      <c r="V27" s="1501" t="s">
        <v>8</v>
      </c>
      <c r="W27" s="1502">
        <f>J27</f>
        <v>100</v>
      </c>
      <c r="X27" s="1503"/>
      <c r="Y27" s="3594"/>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594"/>
      <c r="Q28" s="2426"/>
      <c r="R28" s="1501"/>
      <c r="S28" s="1502"/>
      <c r="T28" s="1501"/>
      <c r="U28" s="1502"/>
      <c r="V28" s="1501"/>
      <c r="W28" s="1502"/>
      <c r="X28" s="1503"/>
      <c r="Y28" s="3594"/>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594"/>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94"/>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594"/>
      <c r="Q30" s="1505" t="str">
        <f t="shared" si="8"/>
        <v>毗邻道路的类型与等级</v>
      </c>
      <c r="R30" s="1506" t="s">
        <v>8</v>
      </c>
      <c r="S30" s="1507">
        <f t="shared" si="10"/>
        <v>100</v>
      </c>
      <c r="T30" s="1506" t="s">
        <v>8</v>
      </c>
      <c r="U30" s="1507">
        <f t="shared" si="11"/>
        <v>100</v>
      </c>
      <c r="V30" s="1506" t="s">
        <v>8</v>
      </c>
      <c r="W30" s="1507">
        <f t="shared" si="12"/>
        <v>100</v>
      </c>
      <c r="X30" s="1500"/>
      <c r="Y30" s="3594"/>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594"/>
      <c r="Q31" s="1505"/>
      <c r="R31" s="1506"/>
      <c r="S31" s="1507"/>
      <c r="T31" s="1506"/>
      <c r="U31" s="1507"/>
      <c r="V31" s="1506"/>
      <c r="W31" s="1507"/>
      <c r="X31" s="1500"/>
      <c r="Y31" s="3594"/>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594"/>
      <c r="Q32" s="1505" t="str">
        <f t="shared" si="8"/>
        <v>土地级别</v>
      </c>
      <c r="R32" s="1506" t="s">
        <v>8</v>
      </c>
      <c r="S32" s="1507">
        <f t="shared" si="10"/>
        <v>100</v>
      </c>
      <c r="T32" s="1506" t="s">
        <v>8</v>
      </c>
      <c r="U32" s="1507">
        <f t="shared" si="11"/>
        <v>100</v>
      </c>
      <c r="V32" s="1506" t="s">
        <v>8</v>
      </c>
      <c r="W32" s="1507">
        <f t="shared" si="12"/>
        <v>100</v>
      </c>
      <c r="X32" s="1500"/>
      <c r="Y32" s="3594"/>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594"/>
      <c r="Q33" s="1505">
        <f t="shared" si="8"/>
        <v>111</v>
      </c>
      <c r="R33" s="1506" t="s">
        <v>8</v>
      </c>
      <c r="S33" s="1507">
        <f t="shared" si="10"/>
        <v>100</v>
      </c>
      <c r="T33" s="1506" t="s">
        <v>8</v>
      </c>
      <c r="U33" s="1507">
        <f t="shared" si="11"/>
        <v>100</v>
      </c>
      <c r="V33" s="1506" t="s">
        <v>8</v>
      </c>
      <c r="W33" s="1507">
        <f t="shared" si="12"/>
        <v>100</v>
      </c>
      <c r="X33" s="1500"/>
      <c r="Y33" s="3594"/>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595" t="s">
        <v>542</v>
      </c>
      <c r="Q34" s="1505">
        <f t="shared" si="8"/>
        <v>111</v>
      </c>
      <c r="R34" s="1506" t="s">
        <v>8</v>
      </c>
      <c r="S34" s="1507">
        <f t="shared" si="10"/>
        <v>100</v>
      </c>
      <c r="T34" s="1506" t="s">
        <v>8</v>
      </c>
      <c r="U34" s="1507">
        <f t="shared" si="11"/>
        <v>100</v>
      </c>
      <c r="V34" s="1506" t="s">
        <v>8</v>
      </c>
      <c r="W34" s="1507">
        <f t="shared" si="12"/>
        <v>100</v>
      </c>
      <c r="X34" s="1500"/>
      <c r="Y34" s="3596"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596"/>
      <c r="Q35" s="1505">
        <f t="shared" si="8"/>
        <v>111</v>
      </c>
      <c r="R35" s="1510" t="s">
        <v>8</v>
      </c>
      <c r="S35" s="1511">
        <f t="shared" si="10"/>
        <v>100</v>
      </c>
      <c r="T35" s="1510" t="s">
        <v>8</v>
      </c>
      <c r="U35" s="1511">
        <f t="shared" si="11"/>
        <v>100</v>
      </c>
      <c r="V35" s="1510" t="s">
        <v>8</v>
      </c>
      <c r="W35" s="1511">
        <f t="shared" si="12"/>
        <v>100</v>
      </c>
      <c r="X35" s="1512"/>
      <c r="Y35" s="3596"/>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596"/>
      <c r="Q36" s="1505" t="str">
        <f>B36</f>
        <v>宗地面积</v>
      </c>
      <c r="R36" s="1506" t="s">
        <v>8</v>
      </c>
      <c r="S36" s="1507" t="e">
        <f t="shared" si="10"/>
        <v>#N/A</v>
      </c>
      <c r="T36" s="1506" t="s">
        <v>8</v>
      </c>
      <c r="U36" s="1507" t="e">
        <f t="shared" si="11"/>
        <v>#N/A</v>
      </c>
      <c r="V36" s="1506" t="s">
        <v>8</v>
      </c>
      <c r="W36" s="1507" t="e">
        <f t="shared" si="12"/>
        <v>#N/A</v>
      </c>
      <c r="X36" s="1500"/>
      <c r="Y36" s="3596"/>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596"/>
      <c r="Q37" s="1505" t="str">
        <f t="shared" ref="Q37:Q42" si="14">B37</f>
        <v>宗地形状</v>
      </c>
      <c r="R37" s="1506" t="s">
        <v>8</v>
      </c>
      <c r="S37" s="1507">
        <f t="shared" si="10"/>
        <v>100</v>
      </c>
      <c r="T37" s="1506" t="s">
        <v>8</v>
      </c>
      <c r="U37" s="1507">
        <f t="shared" si="11"/>
        <v>100</v>
      </c>
      <c r="V37" s="1506" t="s">
        <v>8</v>
      </c>
      <c r="W37" s="1507">
        <f t="shared" si="12"/>
        <v>100</v>
      </c>
      <c r="X37" s="1500"/>
      <c r="Y37" s="3596"/>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596"/>
      <c r="Q38" s="1505" t="str">
        <f t="shared" si="14"/>
        <v>宗地开发程度</v>
      </c>
      <c r="R38" s="1501" t="s">
        <v>8</v>
      </c>
      <c r="S38" s="1502">
        <f t="shared" si="10"/>
        <v>100</v>
      </c>
      <c r="T38" s="1501" t="s">
        <v>8</v>
      </c>
      <c r="U38" s="1502">
        <f t="shared" si="11"/>
        <v>100</v>
      </c>
      <c r="V38" s="1501" t="s">
        <v>8</v>
      </c>
      <c r="W38" s="1502">
        <f t="shared" si="12"/>
        <v>100</v>
      </c>
      <c r="X38" s="1503"/>
      <c r="Y38" s="3596"/>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96" t="s">
        <v>593</v>
      </c>
      <c r="Q39" s="1505" t="str">
        <f t="shared" si="14"/>
        <v>工程地质条件</v>
      </c>
      <c r="R39" s="1506" t="s">
        <v>8</v>
      </c>
      <c r="S39" s="1507">
        <f t="shared" si="10"/>
        <v>100</v>
      </c>
      <c r="T39" s="1506" t="s">
        <v>8</v>
      </c>
      <c r="U39" s="1507">
        <f t="shared" si="11"/>
        <v>100</v>
      </c>
      <c r="V39" s="1506" t="s">
        <v>8</v>
      </c>
      <c r="W39" s="1507">
        <f t="shared" si="12"/>
        <v>100</v>
      </c>
      <c r="X39" s="1500"/>
      <c r="Y39" s="3596"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596"/>
      <c r="Q40" s="1505">
        <f t="shared" si="14"/>
        <v>111</v>
      </c>
      <c r="R40" s="1506" t="s">
        <v>8</v>
      </c>
      <c r="S40" s="1507">
        <f t="shared" si="10"/>
        <v>100</v>
      </c>
      <c r="T40" s="1506" t="s">
        <v>8</v>
      </c>
      <c r="U40" s="1507">
        <f t="shared" si="11"/>
        <v>100</v>
      </c>
      <c r="V40" s="1506" t="s">
        <v>8</v>
      </c>
      <c r="W40" s="1507">
        <f t="shared" si="12"/>
        <v>100</v>
      </c>
      <c r="X40" s="1500"/>
      <c r="Y40" s="3596"/>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596"/>
      <c r="Q41" s="1505">
        <f t="shared" si="14"/>
        <v>111</v>
      </c>
      <c r="R41" s="1506" t="s">
        <v>8</v>
      </c>
      <c r="S41" s="1507">
        <f t="shared" si="10"/>
        <v>100</v>
      </c>
      <c r="T41" s="1506" t="s">
        <v>8</v>
      </c>
      <c r="U41" s="1507">
        <f t="shared" si="11"/>
        <v>100</v>
      </c>
      <c r="V41" s="1506" t="s">
        <v>8</v>
      </c>
      <c r="W41" s="1507">
        <f t="shared" si="12"/>
        <v>100</v>
      </c>
      <c r="X41" s="1500"/>
      <c r="Y41" s="3596"/>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596"/>
      <c r="Q42" s="1505">
        <f t="shared" si="14"/>
        <v>111</v>
      </c>
      <c r="R42" s="1510" t="s">
        <v>8</v>
      </c>
      <c r="S42" s="1511">
        <f t="shared" si="10"/>
        <v>100</v>
      </c>
      <c r="T42" s="1510" t="s">
        <v>8</v>
      </c>
      <c r="U42" s="1511">
        <f t="shared" si="11"/>
        <v>100</v>
      </c>
      <c r="V42" s="1510" t="s">
        <v>8</v>
      </c>
      <c r="W42" s="1511">
        <f t="shared" si="12"/>
        <v>100</v>
      </c>
      <c r="X42" s="1512"/>
      <c r="Y42" s="3596"/>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91" t="str">
        <f>A43</f>
        <v>成交单价</v>
      </c>
      <c r="Q43" s="3591"/>
      <c r="R43" s="3605">
        <f>E43</f>
        <v>0</v>
      </c>
      <c r="S43" s="3605"/>
      <c r="T43" s="3605">
        <f>G43</f>
        <v>0</v>
      </c>
      <c r="U43" s="3605"/>
      <c r="V43" s="3605">
        <f>I43</f>
        <v>0</v>
      </c>
      <c r="W43" s="3605"/>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91" t="str">
        <f>A44</f>
        <v>比较价格（元/平方米）</v>
      </c>
      <c r="Q44" s="3591"/>
      <c r="R44" s="3615" t="e">
        <f>ROUND(PRODUCT(R43,AA9:AA42),0)</f>
        <v>#DIV/0!</v>
      </c>
      <c r="S44" s="3615"/>
      <c r="T44" s="3615" t="e">
        <f>ROUND(PRODUCT(T43,AB9:AB42),0)</f>
        <v>#DIV/0!</v>
      </c>
      <c r="U44" s="3615"/>
      <c r="V44" s="3615" t="e">
        <f>ROUND(PRODUCT(V43,AC9:AC42),0)</f>
        <v>#DIV/0!</v>
      </c>
      <c r="W44" s="3615"/>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612" t="str">
        <f>A45</f>
        <v>估价对象XX用房的比较价格（楼面单价，元/平方米）</v>
      </c>
      <c r="Q45" s="3613"/>
      <c r="R45" s="3621" t="e">
        <f>ROUND(IF(D44="简单平均",AVERAGE(R44:W44),R44*F44+T44*H44+V44*J44),0)</f>
        <v>#DIV/0!</v>
      </c>
      <c r="S45" s="3621"/>
      <c r="T45" s="3621"/>
      <c r="U45" s="3621"/>
      <c r="V45" s="3621"/>
      <c r="W45" s="3621"/>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16" t="s">
        <v>2269</v>
      </c>
      <c r="H52" s="3617"/>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18"/>
      <c r="H53" s="3619"/>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0"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0"/>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0"/>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0"/>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29"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30"/>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0" t="s">
        <v>2760</v>
      </c>
      <c r="X8" s="3641"/>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0"/>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9"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0"/>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0"/>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9"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29"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9"/>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1"/>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9"/>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1"/>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2"/>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29" t="s">
        <v>1826</v>
      </c>
      <c r="B16" s="1374" t="s">
        <v>939</v>
      </c>
      <c r="C16" s="1037">
        <f>ROUND(IF(F17="与级别开发程度一致",0,(G17-E17)/C17),0)</f>
        <v>0</v>
      </c>
      <c r="D16" s="3647" t="s">
        <v>943</v>
      </c>
      <c r="E16" s="3648"/>
      <c r="F16" s="3647" t="s">
        <v>940</v>
      </c>
      <c r="G16" s="3648"/>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3"/>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6"/>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7"/>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7"/>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38"/>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4" t="s">
        <v>1622</v>
      </c>
      <c r="B90" s="3634"/>
      <c r="C90" s="3634"/>
      <c r="D90" s="3634"/>
      <c r="E90" s="3634"/>
      <c r="F90" s="3634"/>
      <c r="G90" s="3634"/>
      <c r="H90" s="3634"/>
      <c r="I90" s="3634"/>
      <c r="J90" s="3634"/>
      <c r="K90" s="2303"/>
      <c r="L90" s="2303"/>
      <c r="M90" s="2303"/>
      <c r="N90" s="2303"/>
    </row>
    <row r="91" spans="1:40">
      <c r="A91" s="3635" t="s">
        <v>1432</v>
      </c>
      <c r="B91" s="3635" t="s">
        <v>1623</v>
      </c>
      <c r="C91" s="1121" t="s">
        <v>1624</v>
      </c>
      <c r="D91" s="1122"/>
      <c r="E91" s="1122"/>
      <c r="F91" s="1122"/>
      <c r="G91" s="1122"/>
      <c r="H91" s="1122"/>
      <c r="I91" s="1122"/>
      <c r="J91" s="1123"/>
      <c r="K91" s="1115"/>
      <c r="L91" s="1115"/>
      <c r="M91" s="1115"/>
      <c r="N91" s="1115"/>
    </row>
    <row r="92" spans="1:40">
      <c r="A92" s="3635"/>
      <c r="B92" s="3635"/>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42"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3"/>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3"/>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3"/>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3"/>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3"/>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3"/>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4"/>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2"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3"/>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3"/>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3"/>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3"/>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3"/>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3"/>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3"/>
      <c r="B108" s="3645"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4"/>
      <c r="B109" s="3646"/>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28" t="s">
        <v>1628</v>
      </c>
      <c r="B110" s="3628"/>
      <c r="C110" s="3628"/>
      <c r="D110" s="3628"/>
      <c r="E110" s="3628"/>
      <c r="F110" s="3628"/>
      <c r="G110" s="3628"/>
      <c r="H110" s="3628"/>
      <c r="I110" s="3628"/>
      <c r="J110" s="3628"/>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35" t="s">
        <v>996</v>
      </c>
      <c r="B18" s="1135" t="s">
        <v>1435</v>
      </c>
      <c r="C18" s="1112" t="s">
        <v>1436</v>
      </c>
      <c r="D18" s="1113"/>
      <c r="E18" s="1135">
        <v>1</v>
      </c>
      <c r="F18" s="1114" t="s">
        <v>1437</v>
      </c>
      <c r="G18" s="1115"/>
      <c r="H18" s="1086"/>
      <c r="I18" s="1086"/>
    </row>
    <row r="19" spans="1:9" s="1528" customFormat="1" ht="19.5" customHeight="1">
      <c r="A19" s="3635"/>
      <c r="B19" s="3635" t="s">
        <v>1438</v>
      </c>
      <c r="C19" s="1112" t="s">
        <v>1439</v>
      </c>
      <c r="D19" s="1113"/>
      <c r="E19" s="1135">
        <v>0.9</v>
      </c>
      <c r="F19" s="1114" t="s">
        <v>1440</v>
      </c>
      <c r="G19" s="1115"/>
      <c r="H19" s="1086"/>
      <c r="I19" s="1086"/>
    </row>
    <row r="20" spans="1:9" s="1528" customFormat="1" ht="19.5" customHeight="1">
      <c r="A20" s="3635"/>
      <c r="B20" s="3635"/>
      <c r="C20" s="1112" t="s">
        <v>1441</v>
      </c>
      <c r="D20" s="1113"/>
      <c r="E20" s="1135">
        <v>1.1000000000000001</v>
      </c>
      <c r="F20" s="1114" t="s">
        <v>1442</v>
      </c>
      <c r="G20" s="1115"/>
      <c r="H20" s="1086"/>
      <c r="I20" s="1086"/>
    </row>
    <row r="21" spans="1:9" s="1528" customFormat="1" ht="19.5" customHeight="1">
      <c r="A21" s="3635"/>
      <c r="B21" s="3635"/>
      <c r="C21" s="1112" t="s">
        <v>1443</v>
      </c>
      <c r="D21" s="1113"/>
      <c r="E21" s="1135">
        <v>0.8</v>
      </c>
      <c r="F21" s="1114" t="s">
        <v>1444</v>
      </c>
      <c r="G21" s="1115"/>
      <c r="H21" s="1086"/>
      <c r="I21" s="1086"/>
    </row>
    <row r="22" spans="1:9" s="1528" customFormat="1" ht="19.5" customHeight="1">
      <c r="A22" s="3635"/>
      <c r="B22" s="3635"/>
      <c r="C22" s="1112" t="s">
        <v>1445</v>
      </c>
      <c r="D22" s="1113"/>
      <c r="E22" s="1135">
        <v>0.5</v>
      </c>
      <c r="F22" s="1114"/>
      <c r="G22" s="1115"/>
      <c r="H22" s="1086"/>
      <c r="I22" s="1086"/>
    </row>
    <row r="23" spans="1:9" s="1528" customFormat="1" ht="19.5" customHeight="1">
      <c r="A23" s="3635" t="s">
        <v>1018</v>
      </c>
      <c r="B23" s="1135" t="s">
        <v>1435</v>
      </c>
      <c r="C23" s="1112" t="s">
        <v>1446</v>
      </c>
      <c r="D23" s="1113"/>
      <c r="E23" s="1135">
        <v>1</v>
      </c>
      <c r="F23" s="1114" t="s">
        <v>1447</v>
      </c>
      <c r="G23" s="1115"/>
      <c r="H23" s="1086"/>
      <c r="I23" s="1086"/>
    </row>
    <row r="24" spans="1:9" s="1528" customFormat="1" ht="19.5" customHeight="1">
      <c r="A24" s="3635"/>
      <c r="B24" s="3635" t="s">
        <v>1438</v>
      </c>
      <c r="C24" s="1112" t="s">
        <v>1448</v>
      </c>
      <c r="D24" s="1113"/>
      <c r="E24" s="1135">
        <v>0.5</v>
      </c>
      <c r="F24" s="1114"/>
      <c r="G24" s="1115"/>
      <c r="H24" s="1086"/>
      <c r="I24" s="1086"/>
    </row>
    <row r="25" spans="1:9" s="1528" customFormat="1" ht="19.5" customHeight="1">
      <c r="A25" s="3635"/>
      <c r="B25" s="3635"/>
      <c r="C25" s="1112" t="s">
        <v>1449</v>
      </c>
      <c r="D25" s="1113"/>
      <c r="E25" s="1135">
        <v>1.1000000000000001</v>
      </c>
      <c r="F25" s="1114"/>
      <c r="G25" s="1115"/>
      <c r="H25" s="1086"/>
      <c r="I25" s="1086"/>
    </row>
    <row r="26" spans="1:9" s="1528" customFormat="1" ht="19.5" customHeight="1">
      <c r="A26" s="3635"/>
      <c r="B26" s="3635"/>
      <c r="C26" s="1112" t="s">
        <v>1450</v>
      </c>
      <c r="D26" s="1113"/>
      <c r="E26" s="1135">
        <v>1.1000000000000001</v>
      </c>
      <c r="F26" s="1114"/>
      <c r="G26" s="1115"/>
      <c r="H26" s="1086"/>
      <c r="I26" s="1086"/>
    </row>
    <row r="27" spans="1:9" s="1528" customFormat="1" ht="19.5" customHeight="1">
      <c r="A27" s="3635"/>
      <c r="B27" s="3635"/>
      <c r="C27" s="1112" t="s">
        <v>1451</v>
      </c>
      <c r="D27" s="1113"/>
      <c r="E27" s="1135">
        <v>0.9</v>
      </c>
      <c r="F27" s="1114" t="s">
        <v>1452</v>
      </c>
      <c r="G27" s="1115"/>
      <c r="H27" s="1086"/>
      <c r="I27" s="1086"/>
    </row>
    <row r="28" spans="1:9" s="1528" customFormat="1" ht="19.5" customHeight="1">
      <c r="A28" s="3635"/>
      <c r="B28" s="3635"/>
      <c r="C28" s="1112" t="s">
        <v>1453</v>
      </c>
      <c r="D28" s="1113"/>
      <c r="E28" s="1135">
        <v>0.9</v>
      </c>
      <c r="F28" s="1114" t="s">
        <v>1454</v>
      </c>
      <c r="G28" s="1115"/>
      <c r="H28" s="1086"/>
      <c r="I28" s="1086"/>
    </row>
    <row r="29" spans="1:9" s="1528" customFormat="1" ht="19.5" customHeight="1">
      <c r="A29" s="3635"/>
      <c r="B29" s="3635"/>
      <c r="C29" s="1112" t="s">
        <v>1455</v>
      </c>
      <c r="D29" s="1113"/>
      <c r="E29" s="1135">
        <v>0.9</v>
      </c>
      <c r="F29" s="1114" t="s">
        <v>1456</v>
      </c>
      <c r="G29" s="1115"/>
      <c r="H29" s="1086"/>
      <c r="I29" s="1086"/>
    </row>
    <row r="30" spans="1:9" s="1528" customFormat="1" ht="19.5" customHeight="1">
      <c r="A30" s="3635"/>
      <c r="B30" s="3635"/>
      <c r="C30" s="1112" t="s">
        <v>1457</v>
      </c>
      <c r="D30" s="1113"/>
      <c r="E30" s="1135">
        <v>0.9</v>
      </c>
      <c r="F30" s="1114" t="s">
        <v>1458</v>
      </c>
      <c r="G30" s="1115"/>
      <c r="H30" s="1086"/>
      <c r="I30" s="1086"/>
    </row>
    <row r="31" spans="1:9" s="1528" customFormat="1" ht="19.5" customHeight="1">
      <c r="A31" s="3635"/>
      <c r="B31" s="3635"/>
      <c r="C31" s="1112" t="s">
        <v>1459</v>
      </c>
      <c r="D31" s="1113"/>
      <c r="E31" s="1135">
        <v>0.8</v>
      </c>
      <c r="F31" s="1114" t="s">
        <v>1460</v>
      </c>
      <c r="G31" s="1115"/>
      <c r="H31" s="1086"/>
      <c r="I31" s="1086"/>
    </row>
    <row r="32" spans="1:9" s="1528" customFormat="1" ht="19.5" customHeight="1">
      <c r="A32" s="3635"/>
      <c r="B32" s="3635"/>
      <c r="C32" s="1112" t="s">
        <v>1461</v>
      </c>
      <c r="D32" s="1113"/>
      <c r="E32" s="1135">
        <v>0.8</v>
      </c>
      <c r="F32" s="1114" t="s">
        <v>1462</v>
      </c>
      <c r="G32" s="1115"/>
      <c r="H32" s="1086"/>
      <c r="I32" s="1086"/>
    </row>
    <row r="33" spans="1:9" s="1528" customFormat="1" ht="19.5" customHeight="1">
      <c r="A33" s="3635" t="s">
        <v>1463</v>
      </c>
      <c r="B33" s="1135" t="s">
        <v>1435</v>
      </c>
      <c r="C33" s="1112" t="s">
        <v>1464</v>
      </c>
      <c r="D33" s="1113"/>
      <c r="E33" s="1135">
        <v>1</v>
      </c>
      <c r="F33" s="1114" t="s">
        <v>1465</v>
      </c>
      <c r="G33" s="1115"/>
      <c r="H33" s="1086"/>
      <c r="I33" s="1086"/>
    </row>
    <row r="34" spans="1:9" s="1528" customFormat="1" ht="19.5" customHeight="1">
      <c r="A34" s="3635"/>
      <c r="B34" s="1135" t="s">
        <v>1438</v>
      </c>
      <c r="C34" s="1112" t="s">
        <v>1466</v>
      </c>
      <c r="D34" s="1113"/>
      <c r="E34" s="1135">
        <v>1.5</v>
      </c>
      <c r="F34" s="1114" t="s">
        <v>1467</v>
      </c>
      <c r="G34" s="1115"/>
      <c r="H34" s="1086"/>
      <c r="I34" s="1086"/>
    </row>
    <row r="35" spans="1:9" s="1528" customFormat="1" ht="19.5" customHeight="1">
      <c r="A35" s="3635" t="s">
        <v>1421</v>
      </c>
      <c r="B35" s="1135" t="s">
        <v>1435</v>
      </c>
      <c r="C35" s="1112" t="s">
        <v>1468</v>
      </c>
      <c r="D35" s="1113"/>
      <c r="E35" s="1135">
        <v>1</v>
      </c>
      <c r="F35" s="1114" t="s">
        <v>1469</v>
      </c>
      <c r="G35" s="1115"/>
      <c r="H35" s="1086"/>
      <c r="I35" s="1086"/>
    </row>
    <row r="36" spans="1:9" s="1528" customFormat="1" ht="19.5" customHeight="1">
      <c r="A36" s="3635"/>
      <c r="B36" s="3635" t="s">
        <v>1438</v>
      </c>
      <c r="C36" s="1112" t="s">
        <v>1470</v>
      </c>
      <c r="D36" s="1113"/>
      <c r="E36" s="1135">
        <v>1</v>
      </c>
      <c r="F36" s="1114" t="s">
        <v>1471</v>
      </c>
      <c r="G36" s="1115"/>
      <c r="H36" s="1086"/>
      <c r="I36" s="1086"/>
    </row>
    <row r="37" spans="1:9" s="1528" customFormat="1" ht="19.5" customHeight="1">
      <c r="A37" s="3635"/>
      <c r="B37" s="3635"/>
      <c r="C37" s="1112" t="s">
        <v>1472</v>
      </c>
      <c r="D37" s="1113"/>
      <c r="E37" s="1135">
        <v>1.5</v>
      </c>
      <c r="F37" s="1114" t="s">
        <v>1473</v>
      </c>
      <c r="G37" s="1115"/>
      <c r="H37" s="1086"/>
      <c r="I37" s="1086"/>
    </row>
    <row r="38" spans="1:9" s="1528" customFormat="1" ht="19.5" customHeight="1">
      <c r="A38" s="3635"/>
      <c r="B38" s="3635"/>
      <c r="C38" s="1112" t="s">
        <v>1474</v>
      </c>
      <c r="D38" s="1113"/>
      <c r="E38" s="1135">
        <v>1</v>
      </c>
      <c r="F38" s="1114" t="s">
        <v>1475</v>
      </c>
      <c r="G38" s="1115"/>
      <c r="H38" s="1086"/>
      <c r="I38" s="1086"/>
    </row>
    <row r="39" spans="1:9" s="1528" customFormat="1" ht="19.5" customHeight="1">
      <c r="A39" s="3635"/>
      <c r="B39" s="3635"/>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35" t="s">
        <v>1490</v>
      </c>
      <c r="C61" s="1049" t="s">
        <v>1491</v>
      </c>
      <c r="D61" s="1049" t="s">
        <v>1492</v>
      </c>
      <c r="E61" s="1120">
        <v>0.5</v>
      </c>
      <c r="F61" s="1135">
        <v>80</v>
      </c>
      <c r="H61" s="1086">
        <f>SUMIF(C59:C119,基准地价住宅!C8,E59:E119)</f>
        <v>0</v>
      </c>
    </row>
    <row r="62" spans="1:8" s="1086" customFormat="1" ht="24">
      <c r="A62" s="1135">
        <v>2</v>
      </c>
      <c r="B62" s="3635"/>
      <c r="C62" s="1049" t="s">
        <v>1493</v>
      </c>
      <c r="D62" s="1049" t="s">
        <v>1494</v>
      </c>
      <c r="E62" s="1120">
        <v>0.5</v>
      </c>
      <c r="F62" s="1135">
        <v>80</v>
      </c>
    </row>
    <row r="63" spans="1:8" s="1086" customFormat="1" ht="36">
      <c r="A63" s="1135">
        <v>3</v>
      </c>
      <c r="B63" s="3635"/>
      <c r="C63" s="1049" t="s">
        <v>1495</v>
      </c>
      <c r="D63" s="1049" t="s">
        <v>1496</v>
      </c>
      <c r="E63" s="1120">
        <v>0.5</v>
      </c>
      <c r="F63" s="1135">
        <v>80</v>
      </c>
    </row>
    <row r="64" spans="1:8" s="1086" customFormat="1" ht="36">
      <c r="A64" s="1135">
        <v>4</v>
      </c>
      <c r="B64" s="3635"/>
      <c r="C64" s="1049" t="s">
        <v>1497</v>
      </c>
      <c r="D64" s="1049" t="s">
        <v>1498</v>
      </c>
      <c r="E64" s="1120">
        <v>0.4</v>
      </c>
      <c r="F64" s="1135">
        <v>60</v>
      </c>
    </row>
    <row r="65" spans="1:6" s="1086" customFormat="1" ht="36">
      <c r="A65" s="1135">
        <v>5</v>
      </c>
      <c r="B65" s="3635"/>
      <c r="C65" s="1049" t="s">
        <v>1499</v>
      </c>
      <c r="D65" s="1049" t="s">
        <v>1500</v>
      </c>
      <c r="E65" s="1120">
        <v>0.2</v>
      </c>
      <c r="F65" s="1135">
        <v>30</v>
      </c>
    </row>
    <row r="66" spans="1:6" s="1086" customFormat="1" ht="36">
      <c r="A66" s="1135">
        <v>6</v>
      </c>
      <c r="B66" s="3635"/>
      <c r="C66" s="1049" t="s">
        <v>1501</v>
      </c>
      <c r="D66" s="1049" t="s">
        <v>1502</v>
      </c>
      <c r="E66" s="1120">
        <v>0.3</v>
      </c>
      <c r="F66" s="1135">
        <v>50</v>
      </c>
    </row>
    <row r="67" spans="1:6" s="1086" customFormat="1" ht="36">
      <c r="A67" s="1135">
        <v>7</v>
      </c>
      <c r="B67" s="3635"/>
      <c r="C67" s="1049" t="s">
        <v>1503</v>
      </c>
      <c r="D67" s="1049" t="s">
        <v>1504</v>
      </c>
      <c r="E67" s="1120">
        <v>0.2</v>
      </c>
      <c r="F67" s="1135">
        <v>30</v>
      </c>
    </row>
    <row r="68" spans="1:6" s="1086" customFormat="1" ht="36">
      <c r="A68" s="1135">
        <v>8</v>
      </c>
      <c r="B68" s="3635"/>
      <c r="C68" s="1049" t="s">
        <v>1505</v>
      </c>
      <c r="D68" s="1049" t="s">
        <v>1506</v>
      </c>
      <c r="E68" s="1120">
        <v>0.2</v>
      </c>
      <c r="F68" s="1135">
        <v>30</v>
      </c>
    </row>
    <row r="69" spans="1:6" s="1086" customFormat="1" ht="36">
      <c r="A69" s="1135">
        <v>9</v>
      </c>
      <c r="B69" s="3635"/>
      <c r="C69" s="1049" t="s">
        <v>1507</v>
      </c>
      <c r="D69" s="1049" t="s">
        <v>1508</v>
      </c>
      <c r="E69" s="1120">
        <v>0.2</v>
      </c>
      <c r="F69" s="1135">
        <v>30</v>
      </c>
    </row>
    <row r="70" spans="1:6" s="1086" customFormat="1" ht="48">
      <c r="A70" s="1135">
        <v>10</v>
      </c>
      <c r="B70" s="3635"/>
      <c r="C70" s="1049" t="s">
        <v>1509</v>
      </c>
      <c r="D70" s="1049" t="s">
        <v>1510</v>
      </c>
      <c r="E70" s="1120">
        <v>0.2</v>
      </c>
      <c r="F70" s="1135">
        <v>30</v>
      </c>
    </row>
    <row r="71" spans="1:6" s="1086" customFormat="1" ht="48">
      <c r="A71" s="1135">
        <v>11</v>
      </c>
      <c r="B71" s="3635"/>
      <c r="C71" s="1049" t="s">
        <v>1511</v>
      </c>
      <c r="D71" s="1049" t="s">
        <v>1512</v>
      </c>
      <c r="E71" s="1120">
        <v>0.2</v>
      </c>
      <c r="F71" s="1135">
        <v>30</v>
      </c>
    </row>
    <row r="72" spans="1:6" s="1086" customFormat="1" ht="36">
      <c r="A72" s="1135">
        <v>12</v>
      </c>
      <c r="B72" s="3635"/>
      <c r="C72" s="1049" t="s">
        <v>1513</v>
      </c>
      <c r="D72" s="1049" t="s">
        <v>1514</v>
      </c>
      <c r="E72" s="1120">
        <v>0.5</v>
      </c>
      <c r="F72" s="1135">
        <v>80</v>
      </c>
    </row>
    <row r="73" spans="1:6" s="1086" customFormat="1" ht="24">
      <c r="A73" s="1135">
        <v>13</v>
      </c>
      <c r="B73" s="3635"/>
      <c r="C73" s="1049" t="s">
        <v>1515</v>
      </c>
      <c r="D73" s="1049" t="s">
        <v>1516</v>
      </c>
      <c r="E73" s="1120">
        <v>0.4</v>
      </c>
      <c r="F73" s="1135">
        <v>60</v>
      </c>
    </row>
    <row r="74" spans="1:6" s="1086" customFormat="1" ht="24">
      <c r="A74" s="1135">
        <v>14</v>
      </c>
      <c r="B74" s="3635"/>
      <c r="C74" s="1049" t="s">
        <v>1517</v>
      </c>
      <c r="D74" s="1049" t="s">
        <v>1518</v>
      </c>
      <c r="E74" s="1120">
        <v>0.2</v>
      </c>
      <c r="F74" s="1135">
        <v>30</v>
      </c>
    </row>
    <row r="75" spans="1:6" s="1086" customFormat="1" ht="24">
      <c r="A75" s="1135">
        <v>15</v>
      </c>
      <c r="B75" s="3635"/>
      <c r="C75" s="1049" t="s">
        <v>1519</v>
      </c>
      <c r="D75" s="1049" t="s">
        <v>1520</v>
      </c>
      <c r="E75" s="1120">
        <v>0.2</v>
      </c>
      <c r="F75" s="1135">
        <v>30</v>
      </c>
    </row>
    <row r="76" spans="1:6" s="1086" customFormat="1" ht="24">
      <c r="A76" s="1135">
        <v>16</v>
      </c>
      <c r="B76" s="3635" t="s">
        <v>1521</v>
      </c>
      <c r="C76" s="1049" t="s">
        <v>1522</v>
      </c>
      <c r="D76" s="1049" t="s">
        <v>1523</v>
      </c>
      <c r="E76" s="1120">
        <v>0.5</v>
      </c>
      <c r="F76" s="1135">
        <v>80</v>
      </c>
    </row>
    <row r="77" spans="1:6" s="1086" customFormat="1" ht="24">
      <c r="A77" s="1135">
        <v>17</v>
      </c>
      <c r="B77" s="3635"/>
      <c r="C77" s="1049" t="s">
        <v>1524</v>
      </c>
      <c r="D77" s="1049" t="s">
        <v>1525</v>
      </c>
      <c r="E77" s="1120">
        <v>0.5</v>
      </c>
      <c r="F77" s="1135">
        <v>80</v>
      </c>
    </row>
    <row r="78" spans="1:6" s="1086" customFormat="1" ht="24">
      <c r="A78" s="1135">
        <v>18</v>
      </c>
      <c r="B78" s="3635"/>
      <c r="C78" s="1049" t="s">
        <v>1526</v>
      </c>
      <c r="D78" s="1049" t="s">
        <v>1527</v>
      </c>
      <c r="E78" s="1120">
        <v>0.2</v>
      </c>
      <c r="F78" s="1135">
        <v>30</v>
      </c>
    </row>
    <row r="79" spans="1:6" s="1086" customFormat="1" ht="24">
      <c r="A79" s="1135">
        <v>19</v>
      </c>
      <c r="B79" s="3635"/>
      <c r="C79" s="1049" t="s">
        <v>1528</v>
      </c>
      <c r="D79" s="1049" t="s">
        <v>1529</v>
      </c>
      <c r="E79" s="1120">
        <v>0.5</v>
      </c>
      <c r="F79" s="1135">
        <v>80</v>
      </c>
    </row>
    <row r="80" spans="1:6" s="1086" customFormat="1" ht="36">
      <c r="A80" s="1135">
        <v>20</v>
      </c>
      <c r="B80" s="3635"/>
      <c r="C80" s="1049" t="s">
        <v>1530</v>
      </c>
      <c r="D80" s="1049" t="s">
        <v>1531</v>
      </c>
      <c r="E80" s="1120">
        <v>0.2</v>
      </c>
      <c r="F80" s="1135">
        <v>30</v>
      </c>
    </row>
    <row r="81" spans="1:6" s="1086" customFormat="1" ht="36">
      <c r="A81" s="1135">
        <v>21</v>
      </c>
      <c r="B81" s="3635"/>
      <c r="C81" s="1049" t="s">
        <v>1532</v>
      </c>
      <c r="D81" s="1049" t="s">
        <v>1533</v>
      </c>
      <c r="E81" s="1120">
        <v>0.2</v>
      </c>
      <c r="F81" s="1135">
        <v>30</v>
      </c>
    </row>
    <row r="82" spans="1:6" s="1086" customFormat="1" ht="48">
      <c r="A82" s="1135">
        <v>22</v>
      </c>
      <c r="B82" s="3635"/>
      <c r="C82" s="1049" t="s">
        <v>1534</v>
      </c>
      <c r="D82" s="1049" t="s">
        <v>1535</v>
      </c>
      <c r="E82" s="1120">
        <v>0.2</v>
      </c>
      <c r="F82" s="1135">
        <v>30</v>
      </c>
    </row>
    <row r="83" spans="1:6" s="1086" customFormat="1" ht="48">
      <c r="A83" s="1135">
        <v>23</v>
      </c>
      <c r="B83" s="3635"/>
      <c r="C83" s="1049" t="s">
        <v>1536</v>
      </c>
      <c r="D83" s="1049" t="s">
        <v>1537</v>
      </c>
      <c r="E83" s="1120">
        <v>0.2</v>
      </c>
      <c r="F83" s="1135">
        <v>30</v>
      </c>
    </row>
    <row r="84" spans="1:6" s="1086" customFormat="1" ht="36">
      <c r="A84" s="1135">
        <v>24</v>
      </c>
      <c r="B84" s="3635"/>
      <c r="C84" s="1049" t="s">
        <v>1538</v>
      </c>
      <c r="D84" s="1049" t="s">
        <v>1539</v>
      </c>
      <c r="E84" s="1120">
        <v>0.2</v>
      </c>
      <c r="F84" s="1135">
        <v>30</v>
      </c>
    </row>
    <row r="85" spans="1:6" s="1086" customFormat="1" ht="36">
      <c r="A85" s="1135">
        <v>25</v>
      </c>
      <c r="B85" s="3635"/>
      <c r="C85" s="1049" t="s">
        <v>1540</v>
      </c>
      <c r="D85" s="1049" t="s">
        <v>1541</v>
      </c>
      <c r="E85" s="1120">
        <v>0.5</v>
      </c>
      <c r="F85" s="1135">
        <v>80</v>
      </c>
    </row>
    <row r="86" spans="1:6" s="1086" customFormat="1" ht="36">
      <c r="A86" s="1135">
        <v>26</v>
      </c>
      <c r="B86" s="3635"/>
      <c r="C86" s="1049" t="s">
        <v>1542</v>
      </c>
      <c r="D86" s="1049" t="s">
        <v>1543</v>
      </c>
      <c r="E86" s="1120">
        <v>0.2</v>
      </c>
      <c r="F86" s="1135">
        <v>30</v>
      </c>
    </row>
    <row r="87" spans="1:6" s="1086" customFormat="1" ht="36">
      <c r="A87" s="1135">
        <v>27</v>
      </c>
      <c r="B87" s="3635"/>
      <c r="C87" s="1049" t="s">
        <v>1544</v>
      </c>
      <c r="D87" s="1049" t="s">
        <v>1545</v>
      </c>
      <c r="E87" s="1120">
        <v>0.2</v>
      </c>
      <c r="F87" s="1135">
        <v>30</v>
      </c>
    </row>
    <row r="88" spans="1:6" s="1086" customFormat="1" ht="36">
      <c r="A88" s="1135">
        <v>28</v>
      </c>
      <c r="B88" s="3635"/>
      <c r="C88" s="1049" t="s">
        <v>1546</v>
      </c>
      <c r="D88" s="1049" t="s">
        <v>1547</v>
      </c>
      <c r="E88" s="1120">
        <v>0.2</v>
      </c>
      <c r="F88" s="1135">
        <v>30</v>
      </c>
    </row>
    <row r="89" spans="1:6" s="1086" customFormat="1" ht="24">
      <c r="A89" s="1135">
        <v>29</v>
      </c>
      <c r="B89" s="3635"/>
      <c r="C89" s="1049" t="s">
        <v>1548</v>
      </c>
      <c r="D89" s="1049" t="s">
        <v>1549</v>
      </c>
      <c r="E89" s="1120">
        <v>0.2</v>
      </c>
      <c r="F89" s="1135">
        <v>30</v>
      </c>
    </row>
    <row r="90" spans="1:6" s="1086" customFormat="1" ht="24">
      <c r="A90" s="1135">
        <v>30</v>
      </c>
      <c r="B90" s="3635"/>
      <c r="C90" s="1049" t="s">
        <v>1550</v>
      </c>
      <c r="D90" s="1049" t="s">
        <v>1551</v>
      </c>
      <c r="E90" s="1120">
        <v>0.2</v>
      </c>
      <c r="F90" s="1135">
        <v>30</v>
      </c>
    </row>
    <row r="91" spans="1:6" s="1086" customFormat="1" ht="36">
      <c r="A91" s="1135">
        <v>31</v>
      </c>
      <c r="B91" s="3635"/>
      <c r="C91" s="1049" t="s">
        <v>1552</v>
      </c>
      <c r="D91" s="1049" t="s">
        <v>1553</v>
      </c>
      <c r="E91" s="1120">
        <v>0.2</v>
      </c>
      <c r="F91" s="1135">
        <v>30</v>
      </c>
    </row>
    <row r="92" spans="1:6" s="1086" customFormat="1" ht="24">
      <c r="A92" s="1135">
        <v>32</v>
      </c>
      <c r="B92" s="3635" t="s">
        <v>1554</v>
      </c>
      <c r="C92" s="1135" t="s">
        <v>1555</v>
      </c>
      <c r="D92" s="1049" t="s">
        <v>1556</v>
      </c>
      <c r="E92" s="1120">
        <v>0.2</v>
      </c>
      <c r="F92" s="1135">
        <v>30</v>
      </c>
    </row>
    <row r="93" spans="1:6" s="1086" customFormat="1" ht="36">
      <c r="A93" s="1135">
        <v>33</v>
      </c>
      <c r="B93" s="3635"/>
      <c r="C93" s="1135" t="s">
        <v>1557</v>
      </c>
      <c r="D93" s="1049" t="s">
        <v>1558</v>
      </c>
      <c r="E93" s="1120">
        <v>0.2</v>
      </c>
      <c r="F93" s="1135">
        <v>30</v>
      </c>
    </row>
    <row r="94" spans="1:6" s="1086" customFormat="1" ht="48">
      <c r="A94" s="1135">
        <v>34</v>
      </c>
      <c r="B94" s="3635"/>
      <c r="C94" s="1135" t="s">
        <v>1559</v>
      </c>
      <c r="D94" s="1049" t="s">
        <v>1560</v>
      </c>
      <c r="E94" s="1120">
        <v>0.2</v>
      </c>
      <c r="F94" s="1135">
        <v>30</v>
      </c>
    </row>
    <row r="95" spans="1:6" s="1086" customFormat="1" ht="36">
      <c r="A95" s="1135">
        <v>35</v>
      </c>
      <c r="B95" s="3635"/>
      <c r="C95" s="1135" t="s">
        <v>1561</v>
      </c>
      <c r="D95" s="1049" t="s">
        <v>1562</v>
      </c>
      <c r="E95" s="1120">
        <v>0.2</v>
      </c>
      <c r="F95" s="1135">
        <v>30</v>
      </c>
    </row>
    <row r="96" spans="1:6" s="1086" customFormat="1" ht="48">
      <c r="A96" s="1135">
        <v>36</v>
      </c>
      <c r="B96" s="3635"/>
      <c r="C96" s="1049" t="s">
        <v>1563</v>
      </c>
      <c r="D96" s="1049" t="s">
        <v>1564</v>
      </c>
      <c r="E96" s="1120">
        <v>0.2</v>
      </c>
      <c r="F96" s="1135">
        <v>30</v>
      </c>
    </row>
    <row r="97" spans="1:6" s="1086" customFormat="1" ht="36">
      <c r="A97" s="1135">
        <v>37</v>
      </c>
      <c r="B97" s="3635"/>
      <c r="C97" s="1135" t="s">
        <v>1565</v>
      </c>
      <c r="D97" s="1049" t="s">
        <v>1566</v>
      </c>
      <c r="E97" s="1120">
        <v>0.2</v>
      </c>
      <c r="F97" s="1135">
        <v>30</v>
      </c>
    </row>
    <row r="98" spans="1:6" s="1086" customFormat="1" ht="36">
      <c r="A98" s="1135">
        <v>38</v>
      </c>
      <c r="B98" s="3635"/>
      <c r="C98" s="1135" t="s">
        <v>1567</v>
      </c>
      <c r="D98" s="1049" t="s">
        <v>1568</v>
      </c>
      <c r="E98" s="1120">
        <v>0.2</v>
      </c>
      <c r="F98" s="1135">
        <v>30</v>
      </c>
    </row>
    <row r="99" spans="1:6" s="1086" customFormat="1" ht="36">
      <c r="A99" s="1135">
        <v>39</v>
      </c>
      <c r="B99" s="3635" t="s">
        <v>1569</v>
      </c>
      <c r="C99" s="1135" t="s">
        <v>1570</v>
      </c>
      <c r="D99" s="1049" t="s">
        <v>1571</v>
      </c>
      <c r="E99" s="1120">
        <v>0.3</v>
      </c>
      <c r="F99" s="1135">
        <v>50</v>
      </c>
    </row>
    <row r="100" spans="1:6" s="1086" customFormat="1" ht="24">
      <c r="A100" s="1135">
        <v>40</v>
      </c>
      <c r="B100" s="3635"/>
      <c r="C100" s="1135" t="s">
        <v>1572</v>
      </c>
      <c r="D100" s="1049" t="s">
        <v>1573</v>
      </c>
      <c r="E100" s="1120">
        <v>0.2</v>
      </c>
      <c r="F100" s="1135">
        <v>30</v>
      </c>
    </row>
    <row r="101" spans="1:6" s="1086" customFormat="1" ht="36">
      <c r="A101" s="1135">
        <v>41</v>
      </c>
      <c r="B101" s="3635"/>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35" t="s">
        <v>1584</v>
      </c>
      <c r="C105" s="1135" t="s">
        <v>1585</v>
      </c>
      <c r="D105" s="1049" t="s">
        <v>1586</v>
      </c>
      <c r="E105" s="1120">
        <v>0.2</v>
      </c>
      <c r="F105" s="1135">
        <v>30</v>
      </c>
    </row>
    <row r="106" spans="1:6" s="1086" customFormat="1" ht="36">
      <c r="A106" s="1135">
        <v>46</v>
      </c>
      <c r="B106" s="3635"/>
      <c r="C106" s="1135" t="s">
        <v>1587</v>
      </c>
      <c r="D106" s="1049" t="s">
        <v>1588</v>
      </c>
      <c r="E106" s="1120">
        <v>0.2</v>
      </c>
      <c r="F106" s="1135">
        <v>30</v>
      </c>
    </row>
    <row r="107" spans="1:6" s="1086" customFormat="1" ht="36">
      <c r="A107" s="1135">
        <v>47</v>
      </c>
      <c r="B107" s="3635" t="s">
        <v>1589</v>
      </c>
      <c r="C107" s="1135" t="s">
        <v>1590</v>
      </c>
      <c r="D107" s="1049" t="s">
        <v>1591</v>
      </c>
      <c r="E107" s="1120">
        <v>0.3</v>
      </c>
      <c r="F107" s="1135">
        <v>50</v>
      </c>
    </row>
    <row r="108" spans="1:6" s="1086" customFormat="1" ht="36">
      <c r="A108" s="1135">
        <v>48</v>
      </c>
      <c r="B108" s="3635"/>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35" t="s">
        <v>1600</v>
      </c>
      <c r="C111" s="1135" t="s">
        <v>1601</v>
      </c>
      <c r="D111" s="1049" t="s">
        <v>1602</v>
      </c>
      <c r="E111" s="1120">
        <v>0.2</v>
      </c>
      <c r="F111" s="1135">
        <v>30</v>
      </c>
    </row>
    <row r="112" spans="1:6" s="1086" customFormat="1" ht="24">
      <c r="A112" s="1135">
        <v>52</v>
      </c>
      <c r="B112" s="3635"/>
      <c r="C112" s="1135" t="s">
        <v>1603</v>
      </c>
      <c r="D112" s="1049" t="s">
        <v>1604</v>
      </c>
      <c r="E112" s="1120">
        <v>0.2</v>
      </c>
      <c r="F112" s="1135">
        <v>30</v>
      </c>
    </row>
    <row r="113" spans="1:14" s="1086" customFormat="1" ht="24">
      <c r="A113" s="1135">
        <v>53</v>
      </c>
      <c r="B113" s="3635"/>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35" t="s">
        <v>1613</v>
      </c>
      <c r="C116" s="1135" t="s">
        <v>1614</v>
      </c>
      <c r="D116" s="1049" t="s">
        <v>1615</v>
      </c>
      <c r="E116" s="1120">
        <v>0.2</v>
      </c>
      <c r="F116" s="1135">
        <v>30</v>
      </c>
    </row>
    <row r="117" spans="1:14" ht="36">
      <c r="A117" s="1135">
        <v>57</v>
      </c>
      <c r="B117" s="3635"/>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34" t="s">
        <v>1622</v>
      </c>
      <c r="B121" s="3634"/>
      <c r="C121" s="3634"/>
      <c r="D121" s="3634"/>
      <c r="E121" s="3634"/>
      <c r="F121" s="3634"/>
      <c r="G121" s="3634"/>
      <c r="H121" s="3634"/>
      <c r="I121" s="3634"/>
      <c r="J121" s="3634"/>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49" t="s">
        <v>1028</v>
      </c>
      <c r="B1" s="3649"/>
      <c r="C1" s="3649"/>
      <c r="D1" s="3649"/>
      <c r="E1" s="3649"/>
      <c r="F1" s="3649"/>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0" t="s">
        <v>1041</v>
      </c>
      <c r="B2" s="3650"/>
      <c r="C2" s="3650"/>
      <c r="D2" s="3650"/>
      <c r="E2" s="3650"/>
      <c r="F2" s="3650"/>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1"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2"/>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3" t="s">
        <v>2065</v>
      </c>
      <c r="B1" s="3653"/>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AR118"/>
  <sheetViews>
    <sheetView view="pageBreakPreview" topLeftCell="A18" zoomScale="80" zoomScaleNormal="60" zoomScaleSheetLayoutView="80" workbookViewId="0">
      <selection activeCell="D51" sqref="D5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3172</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29"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30"/>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0" t="s">
        <v>2760</v>
      </c>
      <c r="X8" s="3641"/>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0"/>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9"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0"/>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0"/>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9"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29"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9"/>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1"/>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9"/>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1"/>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2"/>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29" t="s">
        <v>1826</v>
      </c>
      <c r="B16" s="1374" t="s">
        <v>939</v>
      </c>
      <c r="C16" s="3379">
        <f>ROUND(IF(F17="与级别开发程度一致",0,(G17-E17)/C17),0)</f>
        <v>-56</v>
      </c>
      <c r="D16" s="3647" t="s">
        <v>943</v>
      </c>
      <c r="E16" s="3648"/>
      <c r="F16" s="3647" t="s">
        <v>940</v>
      </c>
      <c r="G16" s="3648"/>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3"/>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6"/>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7"/>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7"/>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38"/>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4" t="s">
        <v>1622</v>
      </c>
      <c r="B90" s="3634"/>
      <c r="C90" s="3634"/>
      <c r="D90" s="3634"/>
      <c r="E90" s="3634"/>
      <c r="F90" s="3634"/>
      <c r="G90" s="3634"/>
      <c r="H90" s="3634"/>
      <c r="I90" s="3634"/>
      <c r="J90" s="3634"/>
      <c r="K90" s="3278"/>
      <c r="L90" s="3278"/>
      <c r="M90" s="3278"/>
      <c r="N90" s="3278"/>
    </row>
    <row r="91" spans="1:40">
      <c r="A91" s="3635" t="s">
        <v>1432</v>
      </c>
      <c r="B91" s="3635" t="s">
        <v>1623</v>
      </c>
      <c r="C91" s="1121" t="s">
        <v>1624</v>
      </c>
      <c r="D91" s="1122"/>
      <c r="E91" s="1122"/>
      <c r="F91" s="1122"/>
      <c r="G91" s="1122"/>
      <c r="H91" s="1122"/>
      <c r="I91" s="1122"/>
      <c r="J91" s="1123"/>
      <c r="K91" s="1115"/>
      <c r="L91" s="1115"/>
      <c r="M91" s="1115"/>
      <c r="N91" s="1115"/>
    </row>
    <row r="92" spans="1:40">
      <c r="A92" s="3635"/>
      <c r="B92" s="3635"/>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2"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3"/>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3"/>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3"/>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3"/>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3"/>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3"/>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4"/>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2"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3"/>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3"/>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3"/>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3"/>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3"/>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3"/>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3"/>
      <c r="B108" s="3645"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4"/>
      <c r="B109" s="3646"/>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28" t="s">
        <v>1628</v>
      </c>
      <c r="B110" s="3628"/>
      <c r="C110" s="3628"/>
      <c r="D110" s="3628"/>
      <c r="E110" s="3628"/>
      <c r="F110" s="3628"/>
      <c r="G110" s="3628"/>
      <c r="H110" s="3628"/>
      <c r="I110" s="3628"/>
      <c r="J110" s="3628"/>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R118"/>
  <sheetViews>
    <sheetView view="pageBreakPreview" topLeftCell="A61" zoomScale="80" zoomScaleNormal="60" zoomScaleSheetLayoutView="80" workbookViewId="0">
      <selection activeCell="D58" sqref="D58:D6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29"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30"/>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0" t="s">
        <v>2760</v>
      </c>
      <c r="X8" s="3641"/>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0"/>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9"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0"/>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0"/>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9"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29"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9"/>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1"/>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9"/>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1"/>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2"/>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29" t="s">
        <v>1826</v>
      </c>
      <c r="B16" s="1374" t="s">
        <v>939</v>
      </c>
      <c r="C16" s="1037">
        <f>ROUND(IF(F17="与级别开发程度一致",0,(G17-E17)/C17),0)</f>
        <v>-56</v>
      </c>
      <c r="D16" s="3647" t="s">
        <v>943</v>
      </c>
      <c r="E16" s="3648"/>
      <c r="F16" s="3647" t="s">
        <v>940</v>
      </c>
      <c r="G16" s="3648"/>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3"/>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6"/>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7"/>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7"/>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38"/>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3712">
        <f t="shared" ref="D58:D66" si="15">SUMIF($J$57:$N$57,C58,J58:N58)</f>
        <v>0</v>
      </c>
      <c r="E58" s="2289">
        <f>ROUND(SUM(D58:D66),4)</f>
        <v>4.4900000000000002E-2</v>
      </c>
      <c r="F58" s="2290">
        <f>IF(E2="办公",SUMIF(L1:L12,G2,N1:N12),"——")</f>
        <v>0.123</v>
      </c>
      <c r="G58" s="2268">
        <f>H58</f>
        <v>1.47E-2</v>
      </c>
      <c r="H58" s="2313">
        <f>IFERROR(ROUNDDOWN($F$58*I58/2,4),"——")</f>
        <v>1.47E-2</v>
      </c>
      <c r="I58" s="2288">
        <v>0.24</v>
      </c>
      <c r="J58" s="3711">
        <f t="shared" ref="J58:J66" si="16">K58+$G58</f>
        <v>2.9399999999999999E-2</v>
      </c>
      <c r="K58" s="3711">
        <f t="shared" ref="K58:K66" si="17">$L58+$G58</f>
        <v>1.47E-2</v>
      </c>
      <c r="L58" s="3711">
        <v>0</v>
      </c>
      <c r="M58" s="3711">
        <f t="shared" ref="M58:N66" si="18">L58-$G58</f>
        <v>-1.47E-2</v>
      </c>
      <c r="N58" s="3711">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3712">
        <f t="shared" si="15"/>
        <v>1.8449999999999998E-2</v>
      </c>
      <c r="E59" s="2292"/>
      <c r="F59" s="2290"/>
      <c r="G59" s="2268">
        <f t="shared" ref="G59:G66" si="19">H59</f>
        <v>1.8449999999999998E-2</v>
      </c>
      <c r="H59" s="2269">
        <f t="shared" ref="H59:H66" si="20">IFERROR($F$58*I59/2,"——")</f>
        <v>1.8449999999999998E-2</v>
      </c>
      <c r="I59" s="2288">
        <v>0.3</v>
      </c>
      <c r="J59" s="3711">
        <f t="shared" si="16"/>
        <v>3.6899999999999995E-2</v>
      </c>
      <c r="K59" s="3711">
        <f t="shared" si="17"/>
        <v>1.8449999999999998E-2</v>
      </c>
      <c r="L59" s="3711">
        <v>0</v>
      </c>
      <c r="M59" s="3711">
        <f t="shared" si="18"/>
        <v>-1.8449999999999998E-2</v>
      </c>
      <c r="N59" s="3711">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3712">
        <f t="shared" si="15"/>
        <v>0</v>
      </c>
      <c r="E60" s="2292"/>
      <c r="F60" s="2290"/>
      <c r="G60" s="2268">
        <f t="shared" si="19"/>
        <v>4.9199999999999999E-3</v>
      </c>
      <c r="H60" s="2269">
        <f t="shared" si="20"/>
        <v>4.9199999999999999E-3</v>
      </c>
      <c r="I60" s="2288">
        <v>0.08</v>
      </c>
      <c r="J60" s="3711">
        <f t="shared" si="16"/>
        <v>9.8399999999999998E-3</v>
      </c>
      <c r="K60" s="3711">
        <f t="shared" si="17"/>
        <v>4.9199999999999999E-3</v>
      </c>
      <c r="L60" s="3711">
        <v>0</v>
      </c>
      <c r="M60" s="3711">
        <f t="shared" si="18"/>
        <v>-4.9199999999999999E-3</v>
      </c>
      <c r="N60" s="3711">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3712">
        <f t="shared" si="15"/>
        <v>2.4599999999999999E-3</v>
      </c>
      <c r="E61" s="2292"/>
      <c r="F61" s="2290"/>
      <c r="G61" s="2268">
        <f t="shared" si="19"/>
        <v>2.4599999999999999E-3</v>
      </c>
      <c r="H61" s="2269">
        <f t="shared" si="20"/>
        <v>2.4599999999999999E-3</v>
      </c>
      <c r="I61" s="2288">
        <v>0.04</v>
      </c>
      <c r="J61" s="3711">
        <f t="shared" si="16"/>
        <v>4.9199999999999999E-3</v>
      </c>
      <c r="K61" s="3711">
        <f t="shared" si="17"/>
        <v>2.4599999999999999E-3</v>
      </c>
      <c r="L61" s="3711">
        <v>0</v>
      </c>
      <c r="M61" s="3711">
        <f t="shared" si="18"/>
        <v>-2.4599999999999999E-3</v>
      </c>
      <c r="N61" s="3711">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3712">
        <f t="shared" si="15"/>
        <v>6.1500000000000001E-3</v>
      </c>
      <c r="E62" s="2292"/>
      <c r="F62" s="2290"/>
      <c r="G62" s="2268">
        <f t="shared" si="19"/>
        <v>3.075E-3</v>
      </c>
      <c r="H62" s="2269">
        <f t="shared" si="20"/>
        <v>3.075E-3</v>
      </c>
      <c r="I62" s="2288">
        <v>0.05</v>
      </c>
      <c r="J62" s="3711">
        <f t="shared" si="16"/>
        <v>6.1500000000000001E-3</v>
      </c>
      <c r="K62" s="3711">
        <f t="shared" si="17"/>
        <v>3.075E-3</v>
      </c>
      <c r="L62" s="3711">
        <v>0</v>
      </c>
      <c r="M62" s="3711">
        <f t="shared" si="18"/>
        <v>-3.075E-3</v>
      </c>
      <c r="N62" s="3711">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3712">
        <f t="shared" si="15"/>
        <v>3.075E-3</v>
      </c>
      <c r="E63" s="2292"/>
      <c r="F63" s="2290"/>
      <c r="G63" s="2268">
        <f t="shared" si="19"/>
        <v>3.075E-3</v>
      </c>
      <c r="H63" s="2269">
        <f t="shared" si="20"/>
        <v>3.075E-3</v>
      </c>
      <c r="I63" s="2288">
        <v>0.05</v>
      </c>
      <c r="J63" s="3711">
        <f t="shared" si="16"/>
        <v>6.1500000000000001E-3</v>
      </c>
      <c r="K63" s="3711">
        <f t="shared" si="17"/>
        <v>3.075E-3</v>
      </c>
      <c r="L63" s="3711">
        <v>0</v>
      </c>
      <c r="M63" s="3711">
        <f t="shared" si="18"/>
        <v>-3.075E-3</v>
      </c>
      <c r="N63" s="3711">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3712">
        <f t="shared" si="15"/>
        <v>0</v>
      </c>
      <c r="E64" s="2292"/>
      <c r="F64" s="2290"/>
      <c r="G64" s="2268">
        <f t="shared" si="19"/>
        <v>3.6899999999999997E-3</v>
      </c>
      <c r="H64" s="2269">
        <f t="shared" si="20"/>
        <v>3.6899999999999997E-3</v>
      </c>
      <c r="I64" s="2288">
        <v>0.06</v>
      </c>
      <c r="J64" s="3711">
        <f t="shared" si="16"/>
        <v>7.3799999999999994E-3</v>
      </c>
      <c r="K64" s="3711">
        <f t="shared" si="17"/>
        <v>3.6899999999999997E-3</v>
      </c>
      <c r="L64" s="3711">
        <v>0</v>
      </c>
      <c r="M64" s="3711">
        <f t="shared" si="18"/>
        <v>-3.6899999999999997E-3</v>
      </c>
      <c r="N64" s="3711">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3712">
        <f t="shared" si="15"/>
        <v>7.3799999999999994E-3</v>
      </c>
      <c r="E65" s="2292"/>
      <c r="F65" s="2290"/>
      <c r="G65" s="2268">
        <f t="shared" si="19"/>
        <v>7.3799999999999994E-3</v>
      </c>
      <c r="H65" s="2269">
        <f t="shared" si="20"/>
        <v>7.3799999999999994E-3</v>
      </c>
      <c r="I65" s="2288">
        <v>0.12</v>
      </c>
      <c r="J65" s="3711">
        <f t="shared" si="16"/>
        <v>1.4759999999999999E-2</v>
      </c>
      <c r="K65" s="3711">
        <f t="shared" si="17"/>
        <v>7.3799999999999994E-3</v>
      </c>
      <c r="L65" s="3711">
        <v>0</v>
      </c>
      <c r="M65" s="3711">
        <f t="shared" si="18"/>
        <v>-7.3799999999999994E-3</v>
      </c>
      <c r="N65" s="3711">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3712">
        <f t="shared" si="15"/>
        <v>7.3799999999999994E-3</v>
      </c>
      <c r="E66" s="2296"/>
      <c r="F66" s="2290"/>
      <c r="G66" s="2268">
        <f t="shared" si="19"/>
        <v>3.6899999999999997E-3</v>
      </c>
      <c r="H66" s="2269">
        <f t="shared" si="20"/>
        <v>3.6899999999999997E-3</v>
      </c>
      <c r="I66" s="2295">
        <v>0.06</v>
      </c>
      <c r="J66" s="3711">
        <f t="shared" si="16"/>
        <v>7.3799999999999994E-3</v>
      </c>
      <c r="K66" s="3711">
        <f t="shared" si="17"/>
        <v>3.6899999999999997E-3</v>
      </c>
      <c r="L66" s="3711">
        <v>0</v>
      </c>
      <c r="M66" s="3711">
        <f t="shared" si="18"/>
        <v>-3.6899999999999997E-3</v>
      </c>
      <c r="N66" s="3711">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4" t="s">
        <v>1622</v>
      </c>
      <c r="B90" s="3634"/>
      <c r="C90" s="3634"/>
      <c r="D90" s="3634"/>
      <c r="E90" s="3634"/>
      <c r="F90" s="3634"/>
      <c r="G90" s="3634"/>
      <c r="H90" s="3634"/>
      <c r="I90" s="3634"/>
      <c r="J90" s="3634"/>
      <c r="K90" s="3278"/>
      <c r="L90" s="3278"/>
      <c r="M90" s="3278"/>
      <c r="N90" s="3278"/>
    </row>
    <row r="91" spans="1:40">
      <c r="A91" s="3635" t="s">
        <v>1432</v>
      </c>
      <c r="B91" s="3635" t="s">
        <v>1623</v>
      </c>
      <c r="C91" s="1121" t="s">
        <v>1624</v>
      </c>
      <c r="D91" s="1122"/>
      <c r="E91" s="1122"/>
      <c r="F91" s="1122"/>
      <c r="G91" s="1122"/>
      <c r="H91" s="1122"/>
      <c r="I91" s="1122"/>
      <c r="J91" s="1123"/>
      <c r="K91" s="1115"/>
      <c r="L91" s="1115"/>
      <c r="M91" s="1115"/>
      <c r="N91" s="1115"/>
    </row>
    <row r="92" spans="1:40">
      <c r="A92" s="3635"/>
      <c r="B92" s="3635"/>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2"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3"/>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3"/>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3"/>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3"/>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3"/>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3"/>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4"/>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2"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3"/>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3"/>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3"/>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3"/>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3"/>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3"/>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3"/>
      <c r="B108" s="3645"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4"/>
      <c r="B109" s="3646"/>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28" t="s">
        <v>1628</v>
      </c>
      <c r="B110" s="3628"/>
      <c r="C110" s="3628"/>
      <c r="D110" s="3628"/>
      <c r="E110" s="3628"/>
      <c r="F110" s="3628"/>
      <c r="G110" s="3628"/>
      <c r="H110" s="3628"/>
      <c r="I110" s="3628"/>
      <c r="J110" s="3628"/>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56" t="s">
        <v>2554</v>
      </c>
      <c r="C1" s="3656"/>
      <c r="D1" s="3656"/>
      <c r="E1" s="3656"/>
      <c r="F1" s="3656"/>
      <c r="G1" s="3655" t="s">
        <v>2555</v>
      </c>
      <c r="H1" s="3655"/>
      <c r="I1" s="3655"/>
      <c r="J1" s="3655"/>
      <c r="K1" s="3655"/>
      <c r="L1" s="3655"/>
      <c r="N1" s="3655" t="s">
        <v>2556</v>
      </c>
      <c r="O1" s="3655"/>
      <c r="P1" s="3655"/>
      <c r="Q1" s="3655"/>
      <c r="S1" s="3655" t="s">
        <v>2557</v>
      </c>
      <c r="T1" s="3655"/>
      <c r="U1" s="3655"/>
      <c r="V1" s="3655"/>
      <c r="X1" s="3654" t="s">
        <v>2617</v>
      </c>
      <c r="Y1" s="3655"/>
      <c r="Z1" s="3655"/>
      <c r="AA1" s="3655"/>
      <c r="AB1" s="3655"/>
      <c r="AD1" s="3654" t="s">
        <v>2621</v>
      </c>
      <c r="AE1" s="3655"/>
      <c r="AF1" s="3655"/>
      <c r="AG1" s="3655"/>
      <c r="AH1" s="3655"/>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58">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58"/>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58"/>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64"/>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63">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58"/>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58"/>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64"/>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63">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58"/>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58"/>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59"/>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57">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58"/>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58"/>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59"/>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57">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58"/>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58"/>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59"/>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0">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1"/>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1"/>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2"/>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57">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58"/>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58"/>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59"/>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57">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58">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58">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59">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57">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58">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58">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59">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57">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58">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58">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59">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57">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58">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58">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59">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57">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58">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58">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59">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57">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58">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58">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59">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57">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58">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58">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59">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57">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58">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58">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59">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57">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58">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58">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59">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57">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58">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58">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59">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6" t="s">
        <v>2442</v>
      </c>
      <c r="C8" s="1738">
        <f ca="1">ROUND(F8*F10*F9*(1-F11)/10000,0)</f>
        <v>0</v>
      </c>
      <c r="D8" s="1735" t="s">
        <v>2513</v>
      </c>
      <c r="E8" s="60" t="s">
        <v>629</v>
      </c>
      <c r="F8" s="773">
        <f ca="1">INDIRECT("'数据-取费表'!u"&amp;$G$1)</f>
        <v>0</v>
      </c>
      <c r="G8" s="1525"/>
      <c r="H8" s="2355" t="s">
        <v>1812</v>
      </c>
      <c r="I8" s="3666" t="s">
        <v>2442</v>
      </c>
      <c r="J8" s="771">
        <f ca="1">ROUND(M8*M10*M9*(1-M11)/10000,0)</f>
        <v>0</v>
      </c>
      <c r="K8" s="337" t="s">
        <v>2513</v>
      </c>
      <c r="L8" s="772" t="s">
        <v>1726</v>
      </c>
      <c r="M8" s="773">
        <f ca="1">INDIRECT("'数据-取费表'!z"&amp;$G$1)</f>
        <v>0</v>
      </c>
    </row>
    <row r="9" spans="1:25" ht="18" customHeight="1">
      <c r="A9" s="2351"/>
      <c r="B9" s="3667"/>
      <c r="C9" s="1739"/>
      <c r="D9" s="1736"/>
      <c r="E9" s="60" t="s">
        <v>630</v>
      </c>
      <c r="F9" s="773">
        <f ca="1">IF(INDIRECT("'数据-取费表'!ah"&amp;$G$1)="",INDIRECT("'数据-取费表'!k"&amp;$G$1),INDIRECT("'数据-取费表'!ah"&amp;$G$1))</f>
        <v>0</v>
      </c>
      <c r="G9" s="1525"/>
      <c r="H9" s="2340"/>
      <c r="I9" s="3667"/>
      <c r="J9" s="776"/>
      <c r="K9" s="777"/>
      <c r="L9" s="772" t="s">
        <v>1727</v>
      </c>
      <c r="M9" s="773">
        <f ca="1">F9</f>
        <v>0</v>
      </c>
    </row>
    <row r="10" spans="1:25" ht="18" customHeight="1">
      <c r="A10" s="2344"/>
      <c r="B10" s="3668"/>
      <c r="C10" s="1739"/>
      <c r="D10" s="1736"/>
      <c r="E10" s="60" t="s">
        <v>631</v>
      </c>
      <c r="F10" s="773">
        <f ca="1">INDIRECT("'数据-取费表'!ai"&amp;$G$1)</f>
        <v>0</v>
      </c>
      <c r="G10" s="1525"/>
      <c r="H10" s="2340"/>
      <c r="I10" s="3668"/>
      <c r="J10" s="776"/>
      <c r="K10" s="777"/>
      <c r="L10" s="772" t="s">
        <v>1728</v>
      </c>
      <c r="M10" s="773">
        <f ca="1">INDIRECT("'数据-取费表'!ai"&amp;$G$1)</f>
        <v>0</v>
      </c>
    </row>
    <row r="11" spans="1:25" ht="18" customHeight="1">
      <c r="A11" s="774"/>
      <c r="B11" s="3669"/>
      <c r="C11" s="1739"/>
      <c r="D11" s="1736"/>
      <c r="E11" s="60" t="s">
        <v>632</v>
      </c>
      <c r="F11" s="782">
        <f ca="1">INDIRECT("'数据-取费表'!w"&amp;$G$1)</f>
        <v>0</v>
      </c>
      <c r="G11" s="1525"/>
      <c r="H11" s="2356"/>
      <c r="I11" s="3668"/>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0.01</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0.01</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4.0000000000000002E-4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5"/>
      <c r="J36" s="1960"/>
      <c r="K36" s="1961"/>
      <c r="L36" s="1960"/>
      <c r="M36" s="1960"/>
    </row>
    <row r="37" spans="1:18" ht="18" customHeight="1">
      <c r="A37" s="802"/>
      <c r="B37" s="781"/>
      <c r="C37" s="68"/>
      <c r="D37" s="803"/>
      <c r="E37" s="772" t="s">
        <v>666</v>
      </c>
      <c r="F37" s="773">
        <f ca="1">INDIRECT("'数据-取费表'!r"&amp;$G$1)</f>
        <v>0</v>
      </c>
      <c r="G37" s="1943"/>
      <c r="H37" s="1946"/>
      <c r="I37" s="3665"/>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0"/>
      <c r="L54" s="3671"/>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88" t="s">
        <v>2450</v>
      </c>
      <c r="B1" s="3689"/>
      <c r="C1" s="3690"/>
      <c r="D1" s="3691">
        <f>SUM(I10,I15,I20,I21,I23)</f>
        <v>0</v>
      </c>
      <c r="E1" s="3691"/>
      <c r="F1" s="3691"/>
      <c r="G1" s="3691"/>
      <c r="H1" s="3691"/>
      <c r="I1" s="3692"/>
    </row>
    <row r="2" spans="1:9">
      <c r="A2" s="3678" t="s">
        <v>2451</v>
      </c>
      <c r="B2" s="3679" t="s">
        <v>2452</v>
      </c>
      <c r="C2" s="3679"/>
      <c r="D2" s="2358" t="s">
        <v>2453</v>
      </c>
      <c r="E2" s="2358" t="s">
        <v>2454</v>
      </c>
      <c r="F2" s="2358" t="s">
        <v>2455</v>
      </c>
      <c r="G2" s="2358" t="s">
        <v>2456</v>
      </c>
      <c r="H2" s="2358" t="s">
        <v>2457</v>
      </c>
      <c r="I2" s="2359" t="s">
        <v>2458</v>
      </c>
    </row>
    <row r="3" spans="1:9">
      <c r="A3" s="3678"/>
      <c r="B3" s="3679" t="s">
        <v>2459</v>
      </c>
      <c r="C3" s="3679"/>
      <c r="D3" s="2360"/>
      <c r="E3" s="2358"/>
      <c r="F3" s="2361"/>
      <c r="G3" s="2361"/>
      <c r="H3" s="2362"/>
      <c r="I3" s="2363">
        <f>ROUND(D3*E3*F3*G3*H3/10000,0)</f>
        <v>0</v>
      </c>
    </row>
    <row r="4" spans="1:9">
      <c r="A4" s="3678"/>
      <c r="B4" s="3679" t="s">
        <v>2460</v>
      </c>
      <c r="C4" s="3679"/>
      <c r="D4" s="2360"/>
      <c r="E4" s="2358"/>
      <c r="F4" s="2361"/>
      <c r="G4" s="2361"/>
      <c r="H4" s="2362"/>
      <c r="I4" s="2363">
        <f t="shared" ref="I4:I9" si="0">ROUND(D4*E4*F4*G4*H4/10000,0)</f>
        <v>0</v>
      </c>
    </row>
    <row r="5" spans="1:9">
      <c r="A5" s="3678"/>
      <c r="B5" s="3679" t="s">
        <v>2461</v>
      </c>
      <c r="C5" s="3679"/>
      <c r="D5" s="2360"/>
      <c r="E5" s="2358"/>
      <c r="F5" s="2361"/>
      <c r="G5" s="2361"/>
      <c r="H5" s="2362"/>
      <c r="I5" s="2363">
        <f t="shared" si="0"/>
        <v>0</v>
      </c>
    </row>
    <row r="6" spans="1:9">
      <c r="A6" s="3678"/>
      <c r="B6" s="3679" t="s">
        <v>2462</v>
      </c>
      <c r="C6" s="3679"/>
      <c r="D6" s="2360"/>
      <c r="E6" s="2358"/>
      <c r="F6" s="2361"/>
      <c r="G6" s="2361"/>
      <c r="H6" s="2362"/>
      <c r="I6" s="2363">
        <f t="shared" si="0"/>
        <v>0</v>
      </c>
    </row>
    <row r="7" spans="1:9">
      <c r="A7" s="3678"/>
      <c r="B7" s="3679" t="s">
        <v>2463</v>
      </c>
      <c r="C7" s="3679"/>
      <c r="D7" s="2360"/>
      <c r="E7" s="2358"/>
      <c r="F7" s="2361"/>
      <c r="G7" s="2361"/>
      <c r="H7" s="2362"/>
      <c r="I7" s="2363">
        <f t="shared" si="0"/>
        <v>0</v>
      </c>
    </row>
    <row r="8" spans="1:9">
      <c r="A8" s="3678"/>
      <c r="B8" s="3679" t="s">
        <v>2464</v>
      </c>
      <c r="C8" s="3679"/>
      <c r="D8" s="2360"/>
      <c r="E8" s="2358"/>
      <c r="F8" s="2361"/>
      <c r="G8" s="2361"/>
      <c r="H8" s="2362"/>
      <c r="I8" s="2363">
        <f t="shared" si="0"/>
        <v>0</v>
      </c>
    </row>
    <row r="9" spans="1:9">
      <c r="A9" s="3678"/>
      <c r="B9" s="3679" t="s">
        <v>2465</v>
      </c>
      <c r="C9" s="3679"/>
      <c r="D9" s="2360"/>
      <c r="E9" s="2358"/>
      <c r="F9" s="2361"/>
      <c r="G9" s="2361"/>
      <c r="H9" s="2362"/>
      <c r="I9" s="2363">
        <f t="shared" si="0"/>
        <v>0</v>
      </c>
    </row>
    <row r="10" spans="1:9">
      <c r="A10" s="3678"/>
      <c r="B10" s="3680" t="s">
        <v>2466</v>
      </c>
      <c r="C10" s="3680"/>
      <c r="D10" s="2364">
        <v>527</v>
      </c>
      <c r="E10" s="2364" t="e">
        <f>ROUND(D1*10000/D10/H9,0)</f>
        <v>#DIV/0!</v>
      </c>
      <c r="F10" s="2365"/>
      <c r="G10" s="2365"/>
      <c r="H10" s="2366"/>
      <c r="I10" s="2367">
        <f>SUM(I3:I9)</f>
        <v>0</v>
      </c>
    </row>
    <row r="11" spans="1:9" ht="14.25">
      <c r="A11" s="3678" t="s">
        <v>2467</v>
      </c>
      <c r="B11" s="3679" t="s">
        <v>2468</v>
      </c>
      <c r="C11" s="3679"/>
      <c r="D11" s="2360" t="s">
        <v>2469</v>
      </c>
      <c r="E11" s="2360" t="s">
        <v>2470</v>
      </c>
      <c r="F11" s="2361" t="s">
        <v>2471</v>
      </c>
      <c r="G11" s="2361" t="s">
        <v>2472</v>
      </c>
      <c r="H11" s="2368" t="s">
        <v>2473</v>
      </c>
      <c r="I11" s="2359" t="s">
        <v>2474</v>
      </c>
    </row>
    <row r="12" spans="1:9">
      <c r="A12" s="3678"/>
      <c r="B12" s="3679" t="s">
        <v>2475</v>
      </c>
      <c r="C12" s="3679"/>
      <c r="D12" s="2360"/>
      <c r="E12" s="2360"/>
      <c r="F12" s="2361"/>
      <c r="G12" s="2362"/>
      <c r="H12" s="2369"/>
      <c r="I12" s="2359">
        <f>ROUND(D12*E12*F12*G12/10000,0)</f>
        <v>0</v>
      </c>
    </row>
    <row r="13" spans="1:9">
      <c r="A13" s="3678"/>
      <c r="B13" s="3679" t="s">
        <v>2476</v>
      </c>
      <c r="C13" s="3679"/>
      <c r="D13" s="2360"/>
      <c r="E13" s="2360"/>
      <c r="F13" s="2361"/>
      <c r="G13" s="2362"/>
      <c r="H13" s="2369"/>
      <c r="I13" s="2359">
        <f>ROUND(D13*E13*F13*G13/10000,0)</f>
        <v>0</v>
      </c>
    </row>
    <row r="14" spans="1:9">
      <c r="A14" s="3678"/>
      <c r="B14" s="3679" t="s">
        <v>2477</v>
      </c>
      <c r="C14" s="3679"/>
      <c r="D14" s="2360"/>
      <c r="E14" s="2360"/>
      <c r="F14" s="2361"/>
      <c r="G14" s="2362"/>
      <c r="H14" s="2369"/>
      <c r="I14" s="2359">
        <f>ROUND(D14*E14*F14*G14/10000,0)</f>
        <v>0</v>
      </c>
    </row>
    <row r="15" spans="1:9">
      <c r="A15" s="3678"/>
      <c r="B15" s="3680" t="s">
        <v>2466</v>
      </c>
      <c r="C15" s="3680"/>
      <c r="D15" s="2364"/>
      <c r="E15" s="2364">
        <f>SUM(E12:E14)</f>
        <v>0</v>
      </c>
      <c r="F15" s="2365"/>
      <c r="G15" s="2362"/>
      <c r="H15" s="2369"/>
      <c r="I15" s="2370">
        <f>SUM(I12:I14)</f>
        <v>0</v>
      </c>
    </row>
    <row r="16" spans="1:9" ht="24">
      <c r="A16" s="3678" t="s">
        <v>2478</v>
      </c>
      <c r="B16" s="3679" t="s">
        <v>2479</v>
      </c>
      <c r="C16" s="3679"/>
      <c r="D16" s="2360" t="s">
        <v>2480</v>
      </c>
      <c r="E16" s="2371" t="s">
        <v>2481</v>
      </c>
      <c r="F16" s="2361" t="s">
        <v>2482</v>
      </c>
      <c r="G16" s="2362" t="s">
        <v>2472</v>
      </c>
      <c r="H16" s="2368" t="s">
        <v>2473</v>
      </c>
      <c r="I16" s="2359" t="s">
        <v>2474</v>
      </c>
    </row>
    <row r="17" spans="1:9" ht="14.25">
      <c r="A17" s="3678"/>
      <c r="B17" s="3679" t="s">
        <v>2483</v>
      </c>
      <c r="C17" s="3679"/>
      <c r="D17" s="2360"/>
      <c r="E17" s="2360"/>
      <c r="F17" s="2361"/>
      <c r="G17" s="2362"/>
      <c r="H17" s="2372"/>
      <c r="I17" s="2373">
        <f>ROUND(D17*E17*F17*G17/10000,0)</f>
        <v>0</v>
      </c>
    </row>
    <row r="18" spans="1:9" ht="14.25">
      <c r="A18" s="3678"/>
      <c r="B18" s="3679" t="s">
        <v>2484</v>
      </c>
      <c r="C18" s="3679"/>
      <c r="D18" s="2360"/>
      <c r="E18" s="2360"/>
      <c r="F18" s="2361"/>
      <c r="G18" s="2362"/>
      <c r="H18" s="2372"/>
      <c r="I18" s="2373">
        <f>ROUND(D18*E18*F18*G18/10000,0)</f>
        <v>0</v>
      </c>
    </row>
    <row r="19" spans="1:9" ht="14.25">
      <c r="A19" s="3678"/>
      <c r="B19" s="3679" t="s">
        <v>2485</v>
      </c>
      <c r="C19" s="3679"/>
      <c r="D19" s="2360"/>
      <c r="E19" s="2360"/>
      <c r="F19" s="2361"/>
      <c r="G19" s="2362"/>
      <c r="H19" s="2372"/>
      <c r="I19" s="2373">
        <f>ROUND(D19*E19*F19*G19/10000,0)</f>
        <v>0</v>
      </c>
    </row>
    <row r="20" spans="1:9">
      <c r="A20" s="3678"/>
      <c r="B20" s="3680" t="s">
        <v>2466</v>
      </c>
      <c r="C20" s="3680"/>
      <c r="D20" s="2364">
        <f>SUM(D17:D19)</f>
        <v>0</v>
      </c>
      <c r="E20" s="2364"/>
      <c r="F20" s="2365"/>
      <c r="G20" s="2362"/>
      <c r="H20" s="2369"/>
      <c r="I20" s="2370">
        <f>SUM(I17:I19)</f>
        <v>0</v>
      </c>
    </row>
    <row r="21" spans="1:9">
      <c r="A21" s="3678" t="s">
        <v>2486</v>
      </c>
      <c r="B21" s="3681"/>
      <c r="C21" s="3681"/>
      <c r="D21" s="3681"/>
      <c r="E21" s="3681"/>
      <c r="F21" s="3681"/>
      <c r="G21" s="3681"/>
      <c r="H21" s="2374">
        <v>0.1</v>
      </c>
      <c r="I21" s="2367">
        <f>ROUND(I10*H21,0)</f>
        <v>0</v>
      </c>
    </row>
    <row r="22" spans="1:9" ht="14.25">
      <c r="A22" s="3682" t="s">
        <v>2487</v>
      </c>
      <c r="B22" s="3683"/>
      <c r="C22" s="3684"/>
      <c r="D22" s="2375" t="s">
        <v>2488</v>
      </c>
      <c r="E22" s="2375" t="s">
        <v>2489</v>
      </c>
      <c r="F22" s="2376" t="s">
        <v>2490</v>
      </c>
      <c r="G22" s="2376" t="s">
        <v>2491</v>
      </c>
      <c r="H22" s="2368" t="s">
        <v>2492</v>
      </c>
      <c r="I22" s="2359" t="s">
        <v>2493</v>
      </c>
    </row>
    <row r="23" spans="1:9" ht="14.25" thickBot="1">
      <c r="A23" s="3685"/>
      <c r="B23" s="3686"/>
      <c r="C23" s="3687"/>
      <c r="D23" s="2377"/>
      <c r="E23" s="2377"/>
      <c r="F23" s="2377"/>
      <c r="G23" s="2378"/>
      <c r="H23" s="2379"/>
      <c r="I23" s="2380">
        <f>ROUND(E23*D23*F23*(1-G23)/10000,0)</f>
        <v>0</v>
      </c>
    </row>
    <row r="26" spans="1:9">
      <c r="A26" s="2381" t="s">
        <v>2494</v>
      </c>
      <c r="B26" s="2381"/>
      <c r="C26" s="2381"/>
      <c r="D26" s="2381"/>
      <c r="E26" s="3675">
        <f>C27-C30-C31-C32</f>
        <v>0</v>
      </c>
      <c r="F26" s="3675"/>
      <c r="G26" s="3675"/>
      <c r="H26" s="2754" t="s">
        <v>2820</v>
      </c>
    </row>
    <row r="27" spans="1:9">
      <c r="A27" s="2382">
        <v>1</v>
      </c>
      <c r="B27" s="2383" t="s">
        <v>2495</v>
      </c>
      <c r="C27" s="2383"/>
      <c r="D27" s="2383"/>
      <c r="E27" s="3676"/>
      <c r="F27" s="3676"/>
      <c r="G27" s="3676"/>
    </row>
    <row r="28" spans="1:9">
      <c r="A28" s="2384" t="s">
        <v>2496</v>
      </c>
      <c r="B28" s="2383" t="s">
        <v>2497</v>
      </c>
      <c r="C28" s="2383"/>
      <c r="D28" s="2383"/>
      <c r="E28" s="3676"/>
      <c r="F28" s="3676"/>
      <c r="G28" s="3676"/>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77"/>
      <c r="F32" s="3677"/>
      <c r="G32" s="3677"/>
    </row>
    <row r="33" spans="1:7" hidden="1">
      <c r="A33" s="3672" t="s">
        <v>2505</v>
      </c>
      <c r="B33" s="3673"/>
      <c r="C33" s="3673"/>
      <c r="D33" s="3674"/>
      <c r="E33" s="3675"/>
      <c r="F33" s="3675"/>
      <c r="G33" s="3675"/>
    </row>
    <row r="34" spans="1:7" hidden="1">
      <c r="A34" s="2386">
        <v>1</v>
      </c>
      <c r="B34" s="2383" t="s">
        <v>2506</v>
      </c>
      <c r="C34" s="2383"/>
      <c r="D34" s="2383"/>
      <c r="E34" s="3676"/>
      <c r="F34" s="3676"/>
      <c r="G34" s="3676"/>
    </row>
    <row r="35" spans="1:7" hidden="1">
      <c r="A35" s="2386">
        <v>2</v>
      </c>
      <c r="B35" s="2383" t="s">
        <v>2507</v>
      </c>
      <c r="C35" s="2383"/>
      <c r="D35" s="2383"/>
      <c r="E35" s="3676"/>
      <c r="F35" s="3676"/>
      <c r="G35" s="3676"/>
    </row>
    <row r="36" spans="1:7" hidden="1">
      <c r="A36" s="2386">
        <v>3</v>
      </c>
      <c r="B36" s="2383" t="s">
        <v>2508</v>
      </c>
      <c r="C36" s="2383"/>
      <c r="D36" s="2383"/>
      <c r="E36" s="3676"/>
      <c r="F36" s="3676"/>
      <c r="G36" s="3676"/>
    </row>
    <row r="37" spans="1:7" hidden="1">
      <c r="A37" s="2386">
        <v>4</v>
      </c>
      <c r="B37" s="2383" t="s">
        <v>2509</v>
      </c>
      <c r="C37" s="2383"/>
      <c r="D37" s="2383"/>
      <c r="E37" s="3676"/>
      <c r="F37" s="3676"/>
      <c r="G37" s="3676"/>
    </row>
    <row r="38" spans="1:7" hidden="1">
      <c r="A38" s="3672" t="s">
        <v>2510</v>
      </c>
      <c r="B38" s="3673"/>
      <c r="C38" s="3673"/>
      <c r="D38" s="3674"/>
      <c r="E38" s="3675"/>
      <c r="F38" s="3675"/>
      <c r="G38" s="36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97" t="s">
        <v>514</v>
      </c>
      <c r="D4" s="3598"/>
      <c r="E4" s="3622" t="s">
        <v>515</v>
      </c>
      <c r="F4" s="3623"/>
      <c r="G4" s="3597" t="s">
        <v>516</v>
      </c>
      <c r="H4" s="3598"/>
      <c r="I4" s="3597" t="s">
        <v>517</v>
      </c>
      <c r="J4" s="3598"/>
      <c r="K4" s="840" t="s">
        <v>518</v>
      </c>
      <c r="L4" s="2013"/>
      <c r="M4" s="2014"/>
      <c r="N4" s="2014"/>
      <c r="O4" s="2014"/>
      <c r="P4" s="3599" t="s">
        <v>519</v>
      </c>
      <c r="Q4" s="3600"/>
      <c r="R4" s="3585" t="s">
        <v>515</v>
      </c>
      <c r="S4" s="3586"/>
      <c r="T4" s="3585" t="s">
        <v>516</v>
      </c>
      <c r="U4" s="3586"/>
      <c r="V4" s="3605" t="s">
        <v>517</v>
      </c>
      <c r="W4" s="3605"/>
      <c r="X4" s="1500"/>
      <c r="Y4" s="3585" t="s">
        <v>519</v>
      </c>
      <c r="Z4" s="3586"/>
      <c r="AA4" s="3580" t="s">
        <v>515</v>
      </c>
      <c r="AB4" s="3580" t="s">
        <v>516</v>
      </c>
      <c r="AC4" s="3580" t="s">
        <v>517</v>
      </c>
    </row>
    <row r="5" spans="1:29" ht="15">
      <c r="A5" s="507"/>
      <c r="B5" s="508"/>
      <c r="C5" s="3608" t="s">
        <v>2892</v>
      </c>
      <c r="D5" s="3609"/>
      <c r="E5" s="3693" t="s">
        <v>3068</v>
      </c>
      <c r="F5" s="3625"/>
      <c r="G5" s="3694" t="s">
        <v>3067</v>
      </c>
      <c r="H5" s="3609"/>
      <c r="I5" s="3694" t="s">
        <v>3069</v>
      </c>
      <c r="J5" s="3609"/>
      <c r="K5" s="841"/>
      <c r="L5" s="2013"/>
      <c r="M5" s="2014"/>
      <c r="N5" s="2014"/>
      <c r="O5" s="2014"/>
      <c r="P5" s="3601"/>
      <c r="Q5" s="3602"/>
      <c r="R5" s="3587"/>
      <c r="S5" s="3588"/>
      <c r="T5" s="3587"/>
      <c r="U5" s="3588"/>
      <c r="V5" s="3605"/>
      <c r="W5" s="3605"/>
      <c r="X5" s="1500"/>
      <c r="Y5" s="3587"/>
      <c r="Z5" s="3588"/>
      <c r="AA5" s="3581"/>
      <c r="AB5" s="3581"/>
      <c r="AC5" s="3581"/>
    </row>
    <row r="6" spans="1:29" ht="15.75" thickBot="1">
      <c r="A6" s="509"/>
      <c r="B6" s="510"/>
      <c r="C6" s="3606" t="s">
        <v>2896</v>
      </c>
      <c r="D6" s="3607"/>
      <c r="E6" s="3626" t="s">
        <v>2896</v>
      </c>
      <c r="F6" s="3627"/>
      <c r="G6" s="3606" t="s">
        <v>2896</v>
      </c>
      <c r="H6" s="3607"/>
      <c r="I6" s="3606" t="s">
        <v>2896</v>
      </c>
      <c r="J6" s="3607"/>
      <c r="K6" s="841" t="s">
        <v>520</v>
      </c>
      <c r="L6" s="2013"/>
      <c r="M6" s="2014"/>
      <c r="N6" s="2014"/>
      <c r="O6" s="2014"/>
      <c r="P6" s="3603"/>
      <c r="Q6" s="3604"/>
      <c r="R6" s="3587"/>
      <c r="S6" s="3588"/>
      <c r="T6" s="3589"/>
      <c r="U6" s="3590"/>
      <c r="V6" s="3605"/>
      <c r="W6" s="3605"/>
      <c r="X6" s="1500"/>
      <c r="Y6" s="3589"/>
      <c r="Z6" s="3590"/>
      <c r="AA6" s="3582"/>
      <c r="AB6" s="3582"/>
      <c r="AC6" s="3582"/>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583" t="s">
        <v>522</v>
      </c>
      <c r="Q7" s="3592"/>
      <c r="R7" s="1501" t="s">
        <v>13</v>
      </c>
      <c r="S7" s="1502">
        <f t="shared" ref="S7:S15" si="0">F7</f>
        <v>0</v>
      </c>
      <c r="T7" s="1501" t="s">
        <v>13</v>
      </c>
      <c r="U7" s="1502">
        <f t="shared" ref="U7:U15" si="1">H7</f>
        <v>0</v>
      </c>
      <c r="V7" s="1501" t="s">
        <v>13</v>
      </c>
      <c r="W7" s="1502">
        <f t="shared" ref="W7:W15" si="2">J7</f>
        <v>0</v>
      </c>
      <c r="X7" s="1503"/>
      <c r="Y7" s="3583" t="s">
        <v>522</v>
      </c>
      <c r="Z7" s="3584"/>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583" t="s">
        <v>525</v>
      </c>
      <c r="Q8" s="3584"/>
      <c r="R8" s="1501" t="s">
        <v>13</v>
      </c>
      <c r="S8" s="1502">
        <f t="shared" si="0"/>
        <v>100</v>
      </c>
      <c r="T8" s="1501" t="s">
        <v>13</v>
      </c>
      <c r="U8" s="1502">
        <f t="shared" si="1"/>
        <v>100</v>
      </c>
      <c r="V8" s="1501" t="s">
        <v>13</v>
      </c>
      <c r="W8" s="1502">
        <f t="shared" si="2"/>
        <v>100</v>
      </c>
      <c r="X8" s="1503"/>
      <c r="Y8" s="3583" t="s">
        <v>525</v>
      </c>
      <c r="Z8" s="3584"/>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91" t="s">
        <v>527</v>
      </c>
      <c r="Q9" s="1132" t="str">
        <f t="shared" ref="Q9:Q15" si="6">B9</f>
        <v>用途</v>
      </c>
      <c r="R9" s="1501" t="s">
        <v>8</v>
      </c>
      <c r="S9" s="1502">
        <f t="shared" si="0"/>
        <v>100</v>
      </c>
      <c r="T9" s="1501" t="s">
        <v>8</v>
      </c>
      <c r="U9" s="1502">
        <f t="shared" si="1"/>
        <v>100</v>
      </c>
      <c r="V9" s="1501" t="s">
        <v>8</v>
      </c>
      <c r="W9" s="1502">
        <f t="shared" si="2"/>
        <v>100</v>
      </c>
      <c r="X9" s="1503"/>
      <c r="Y9" s="3542"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91"/>
      <c r="Q10" s="1132" t="str">
        <f t="shared" si="6"/>
        <v>土地使用年限（年）</v>
      </c>
      <c r="R10" s="1501" t="s">
        <v>8</v>
      </c>
      <c r="S10" s="1502">
        <f t="shared" si="0"/>
        <v>100</v>
      </c>
      <c r="T10" s="1501" t="s">
        <v>8</v>
      </c>
      <c r="U10" s="1502">
        <f t="shared" si="1"/>
        <v>100</v>
      </c>
      <c r="V10" s="1501" t="s">
        <v>8</v>
      </c>
      <c r="W10" s="1502">
        <f t="shared" si="2"/>
        <v>100</v>
      </c>
      <c r="X10" s="1503"/>
      <c r="Y10" s="3542"/>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91"/>
      <c r="Q11" s="1132" t="str">
        <f t="shared" si="6"/>
        <v>容积率</v>
      </c>
      <c r="R11" s="1501" t="s">
        <v>11</v>
      </c>
      <c r="S11" s="1502" t="e">
        <f t="shared" si="0"/>
        <v>#N/A</v>
      </c>
      <c r="T11" s="1501" t="s">
        <v>11</v>
      </c>
      <c r="U11" s="1502" t="e">
        <f t="shared" si="1"/>
        <v>#N/A</v>
      </c>
      <c r="V11" s="1501" t="s">
        <v>11</v>
      </c>
      <c r="W11" s="1502" t="e">
        <f t="shared" si="2"/>
        <v>#N/A</v>
      </c>
      <c r="X11" s="1503"/>
      <c r="Y11" s="3542"/>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91"/>
      <c r="Q12" s="1132">
        <f t="shared" si="6"/>
        <v>111</v>
      </c>
      <c r="R12" s="1501" t="s">
        <v>11</v>
      </c>
      <c r="S12" s="1502">
        <f t="shared" si="0"/>
        <v>100</v>
      </c>
      <c r="T12" s="1501" t="s">
        <v>11</v>
      </c>
      <c r="U12" s="1502">
        <f t="shared" si="1"/>
        <v>100</v>
      </c>
      <c r="V12" s="1501" t="s">
        <v>11</v>
      </c>
      <c r="W12" s="1502">
        <f t="shared" si="2"/>
        <v>100</v>
      </c>
      <c r="X12" s="1503"/>
      <c r="Y12" s="3542"/>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91"/>
      <c r="Q13" s="1132">
        <f t="shared" si="6"/>
        <v>111</v>
      </c>
      <c r="R13" s="1501" t="s">
        <v>11</v>
      </c>
      <c r="S13" s="1502">
        <f t="shared" si="0"/>
        <v>100</v>
      </c>
      <c r="T13" s="1501" t="s">
        <v>11</v>
      </c>
      <c r="U13" s="1502">
        <f t="shared" si="1"/>
        <v>100</v>
      </c>
      <c r="V13" s="1501" t="s">
        <v>11</v>
      </c>
      <c r="W13" s="1502">
        <f t="shared" si="2"/>
        <v>100</v>
      </c>
      <c r="X13" s="1503"/>
      <c r="Y13" s="3542"/>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91"/>
      <c r="Q14" s="1132">
        <f t="shared" si="6"/>
        <v>111</v>
      </c>
      <c r="R14" s="1501" t="s">
        <v>11</v>
      </c>
      <c r="S14" s="1502">
        <f t="shared" si="0"/>
        <v>100</v>
      </c>
      <c r="T14" s="1501" t="s">
        <v>11</v>
      </c>
      <c r="U14" s="1502">
        <f t="shared" si="1"/>
        <v>100</v>
      </c>
      <c r="V14" s="1501" t="s">
        <v>11</v>
      </c>
      <c r="W14" s="1502">
        <f t="shared" si="2"/>
        <v>100</v>
      </c>
      <c r="X14" s="1503"/>
      <c r="Y14" s="3542"/>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593" t="s">
        <v>532</v>
      </c>
      <c r="Q15" s="1505" t="str">
        <f t="shared" si="6"/>
        <v>居住社区成熟度</v>
      </c>
      <c r="R15" s="1506" t="s">
        <v>11</v>
      </c>
      <c r="S15" s="1507">
        <f t="shared" si="0"/>
        <v>100</v>
      </c>
      <c r="T15" s="1506" t="s">
        <v>11</v>
      </c>
      <c r="U15" s="1507">
        <f t="shared" si="1"/>
        <v>100</v>
      </c>
      <c r="V15" s="1506" t="s">
        <v>11</v>
      </c>
      <c r="W15" s="1507">
        <f t="shared" si="2"/>
        <v>100</v>
      </c>
      <c r="X15" s="1500"/>
      <c r="Y15" s="3593"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594"/>
      <c r="Q16" s="1505"/>
      <c r="R16" s="1506"/>
      <c r="S16" s="1507"/>
      <c r="T16" s="1506"/>
      <c r="U16" s="1507"/>
      <c r="V16" s="1506"/>
      <c r="W16" s="1507"/>
      <c r="X16" s="1500"/>
      <c r="Y16" s="3594"/>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594"/>
      <c r="Q17" s="1505" t="str">
        <f>B17</f>
        <v>交通便捷度</v>
      </c>
      <c r="R17" s="1506" t="s">
        <v>11</v>
      </c>
      <c r="S17" s="1507">
        <f>F17</f>
        <v>100</v>
      </c>
      <c r="T17" s="1506" t="s">
        <v>11</v>
      </c>
      <c r="U17" s="1507">
        <f>H17</f>
        <v>100</v>
      </c>
      <c r="V17" s="1506" t="s">
        <v>11</v>
      </c>
      <c r="W17" s="1507">
        <f>J17</f>
        <v>100</v>
      </c>
      <c r="X17" s="1500"/>
      <c r="Y17" s="3594"/>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594"/>
      <c r="Q18" s="1505"/>
      <c r="R18" s="1506"/>
      <c r="S18" s="1507"/>
      <c r="T18" s="1506"/>
      <c r="U18" s="1507"/>
      <c r="V18" s="1506"/>
      <c r="W18" s="1507"/>
      <c r="X18" s="1500"/>
      <c r="Y18" s="3594"/>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594"/>
      <c r="Q19" s="1505" t="str">
        <f>B19</f>
        <v>公共配套设施</v>
      </c>
      <c r="R19" s="1506" t="s">
        <v>11</v>
      </c>
      <c r="S19" s="1507">
        <f>F19</f>
        <v>100</v>
      </c>
      <c r="T19" s="1506" t="s">
        <v>11</v>
      </c>
      <c r="U19" s="1507">
        <f>H19</f>
        <v>100</v>
      </c>
      <c r="V19" s="1506" t="s">
        <v>11</v>
      </c>
      <c r="W19" s="1507">
        <f>J19</f>
        <v>100</v>
      </c>
      <c r="X19" s="1500"/>
      <c r="Y19" s="3594"/>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594"/>
      <c r="Q20" s="1505"/>
      <c r="R20" s="1506"/>
      <c r="S20" s="1507"/>
      <c r="T20" s="1506"/>
      <c r="U20" s="1507"/>
      <c r="V20" s="1506"/>
      <c r="W20" s="1507"/>
      <c r="X20" s="1500"/>
      <c r="Y20" s="3594"/>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594"/>
      <c r="Q21" s="2427" t="str">
        <f>B21</f>
        <v>基础设施水平</v>
      </c>
      <c r="R21" s="1506" t="s">
        <v>11</v>
      </c>
      <c r="S21" s="1507">
        <f>F21</f>
        <v>100</v>
      </c>
      <c r="T21" s="1506" t="s">
        <v>11</v>
      </c>
      <c r="U21" s="1507">
        <f>H21</f>
        <v>100</v>
      </c>
      <c r="V21" s="1506" t="s">
        <v>11</v>
      </c>
      <c r="W21" s="1507">
        <f>J21</f>
        <v>100</v>
      </c>
      <c r="X21" s="2429"/>
      <c r="Y21" s="3594"/>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594"/>
      <c r="Q22" s="2427"/>
      <c r="R22" s="1506"/>
      <c r="S22" s="1507"/>
      <c r="T22" s="1506"/>
      <c r="U22" s="1507"/>
      <c r="V22" s="1506"/>
      <c r="W22" s="1507"/>
      <c r="X22" s="2429"/>
      <c r="Y22" s="3594"/>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594"/>
      <c r="Q23" s="1505" t="str">
        <f>B23</f>
        <v>自然及人文环境</v>
      </c>
      <c r="R23" s="1506" t="s">
        <v>11</v>
      </c>
      <c r="S23" s="1507">
        <f>F23</f>
        <v>100</v>
      </c>
      <c r="T23" s="1506" t="s">
        <v>11</v>
      </c>
      <c r="U23" s="1507">
        <f>H23</f>
        <v>100</v>
      </c>
      <c r="V23" s="1506" t="s">
        <v>11</v>
      </c>
      <c r="W23" s="1507">
        <f>J23</f>
        <v>100</v>
      </c>
      <c r="X23" s="1500"/>
      <c r="Y23" s="3594"/>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594"/>
      <c r="Q24" s="1505"/>
      <c r="R24" s="1506"/>
      <c r="S24" s="1507"/>
      <c r="T24" s="1506"/>
      <c r="U24" s="1507"/>
      <c r="V24" s="1506"/>
      <c r="W24" s="1507"/>
      <c r="X24" s="1500"/>
      <c r="Y24" s="3594"/>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594"/>
      <c r="Q25" s="1505" t="str">
        <f t="shared" ref="Q25:Q46" si="11">B25</f>
        <v>楼层-1</v>
      </c>
      <c r="R25" s="1506" t="s">
        <v>11</v>
      </c>
      <c r="S25" s="1507">
        <f>F25</f>
        <v>100</v>
      </c>
      <c r="T25" s="1506" t="s">
        <v>11</v>
      </c>
      <c r="U25" s="1507">
        <f>H25</f>
        <v>100</v>
      </c>
      <c r="V25" s="1506" t="s">
        <v>11</v>
      </c>
      <c r="W25" s="1507">
        <f>J25</f>
        <v>100</v>
      </c>
      <c r="X25" s="1500"/>
      <c r="Y25" s="3594"/>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594"/>
      <c r="Q26" s="1505" t="str">
        <f t="shared" si="11"/>
        <v>朝向</v>
      </c>
      <c r="R26" s="1506" t="s">
        <v>11</v>
      </c>
      <c r="S26" s="1507">
        <f>F26</f>
        <v>100</v>
      </c>
      <c r="T26" s="1506" t="s">
        <v>11</v>
      </c>
      <c r="U26" s="1507">
        <f>H26</f>
        <v>100</v>
      </c>
      <c r="V26" s="1506" t="s">
        <v>11</v>
      </c>
      <c r="W26" s="1507">
        <f>J26</f>
        <v>100</v>
      </c>
      <c r="X26" s="1500"/>
      <c r="Y26" s="3594"/>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594"/>
      <c r="Q27" s="1132" t="str">
        <f t="shared" si="11"/>
        <v>道路级别</v>
      </c>
      <c r="R27" s="1501" t="s">
        <v>11</v>
      </c>
      <c r="S27" s="1502">
        <f>F27</f>
        <v>100</v>
      </c>
      <c r="T27" s="1501" t="s">
        <v>11</v>
      </c>
      <c r="U27" s="1502">
        <f>H27</f>
        <v>100</v>
      </c>
      <c r="V27" s="1501" t="s">
        <v>11</v>
      </c>
      <c r="W27" s="1502">
        <f>J27</f>
        <v>100</v>
      </c>
      <c r="X27" s="1503"/>
      <c r="Y27" s="3594"/>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594"/>
      <c r="Q28" s="1505">
        <f t="shared" si="11"/>
        <v>111</v>
      </c>
      <c r="R28" s="1506" t="s">
        <v>11</v>
      </c>
      <c r="S28" s="1507">
        <f t="shared" ref="S28:S46" si="12">F28</f>
        <v>100</v>
      </c>
      <c r="T28" s="1506" t="s">
        <v>11</v>
      </c>
      <c r="U28" s="1507">
        <f t="shared" ref="U28:U46" si="13">H28</f>
        <v>100</v>
      </c>
      <c r="V28" s="1506" t="s">
        <v>11</v>
      </c>
      <c r="W28" s="1507">
        <f t="shared" ref="W28:W46" si="14">J28</f>
        <v>100</v>
      </c>
      <c r="X28" s="1500"/>
      <c r="Y28" s="3594"/>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594"/>
      <c r="Q29" s="1505">
        <f t="shared" si="11"/>
        <v>111</v>
      </c>
      <c r="R29" s="1506" t="s">
        <v>11</v>
      </c>
      <c r="S29" s="1507">
        <f t="shared" si="12"/>
        <v>100</v>
      </c>
      <c r="T29" s="1506" t="s">
        <v>11</v>
      </c>
      <c r="U29" s="1507">
        <f t="shared" si="13"/>
        <v>100</v>
      </c>
      <c r="V29" s="1506" t="s">
        <v>11</v>
      </c>
      <c r="W29" s="1507">
        <f t="shared" si="14"/>
        <v>100</v>
      </c>
      <c r="X29" s="1500"/>
      <c r="Y29" s="3594"/>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594"/>
      <c r="Q30" s="1505">
        <f t="shared" si="11"/>
        <v>111</v>
      </c>
      <c r="R30" s="1506" t="s">
        <v>11</v>
      </c>
      <c r="S30" s="1507">
        <f t="shared" si="12"/>
        <v>100</v>
      </c>
      <c r="T30" s="1506" t="s">
        <v>11</v>
      </c>
      <c r="U30" s="1507">
        <f t="shared" si="13"/>
        <v>100</v>
      </c>
      <c r="V30" s="1506" t="s">
        <v>11</v>
      </c>
      <c r="W30" s="1507">
        <f t="shared" si="14"/>
        <v>100</v>
      </c>
      <c r="X30" s="1500"/>
      <c r="Y30" s="3594"/>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594"/>
      <c r="Q31" s="1505">
        <f t="shared" si="11"/>
        <v>111</v>
      </c>
      <c r="R31" s="1506" t="s">
        <v>11</v>
      </c>
      <c r="S31" s="1507">
        <f t="shared" si="12"/>
        <v>100</v>
      </c>
      <c r="T31" s="1506" t="s">
        <v>11</v>
      </c>
      <c r="U31" s="1507">
        <f t="shared" si="13"/>
        <v>100</v>
      </c>
      <c r="V31" s="1506" t="s">
        <v>11</v>
      </c>
      <c r="W31" s="1507">
        <f t="shared" si="14"/>
        <v>100</v>
      </c>
      <c r="X31" s="1500"/>
      <c r="Y31" s="3594"/>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595" t="s">
        <v>542</v>
      </c>
      <c r="Q32" s="1505" t="str">
        <f t="shared" si="11"/>
        <v>建筑类型</v>
      </c>
      <c r="R32" s="1506" t="s">
        <v>11</v>
      </c>
      <c r="S32" s="1507">
        <f t="shared" si="12"/>
        <v>100</v>
      </c>
      <c r="T32" s="1506" t="s">
        <v>11</v>
      </c>
      <c r="U32" s="1507">
        <f t="shared" si="13"/>
        <v>100</v>
      </c>
      <c r="V32" s="1506" t="s">
        <v>11</v>
      </c>
      <c r="W32" s="1507">
        <f t="shared" si="14"/>
        <v>100</v>
      </c>
      <c r="X32" s="1500"/>
      <c r="Y32" s="3596"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596"/>
      <c r="Q33" s="1534" t="str">
        <f t="shared" si="11"/>
        <v>项目建筑规模</v>
      </c>
      <c r="R33" s="1510" t="s">
        <v>11</v>
      </c>
      <c r="S33" s="1511" t="e">
        <f t="shared" si="12"/>
        <v>#N/A</v>
      </c>
      <c r="T33" s="1510" t="s">
        <v>11</v>
      </c>
      <c r="U33" s="1511" t="e">
        <f t="shared" si="13"/>
        <v>#N/A</v>
      </c>
      <c r="V33" s="1510" t="s">
        <v>11</v>
      </c>
      <c r="W33" s="1511" t="e">
        <f t="shared" si="14"/>
        <v>#N/A</v>
      </c>
      <c r="X33" s="1512"/>
      <c r="Y33" s="3596"/>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596"/>
      <c r="Q34" s="1505" t="str">
        <f t="shared" si="11"/>
        <v>建筑结构</v>
      </c>
      <c r="R34" s="1506" t="s">
        <v>11</v>
      </c>
      <c r="S34" s="1507">
        <f t="shared" si="12"/>
        <v>100</v>
      </c>
      <c r="T34" s="1506" t="s">
        <v>11</v>
      </c>
      <c r="U34" s="1507">
        <f t="shared" si="13"/>
        <v>100</v>
      </c>
      <c r="V34" s="1506" t="s">
        <v>11</v>
      </c>
      <c r="W34" s="1507">
        <f t="shared" si="14"/>
        <v>100</v>
      </c>
      <c r="X34" s="1500"/>
      <c r="Y34" s="3596"/>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596"/>
      <c r="Q35" s="1505" t="str">
        <f t="shared" si="11"/>
        <v>建筑品质</v>
      </c>
      <c r="R35" s="1506" t="s">
        <v>11</v>
      </c>
      <c r="S35" s="1507">
        <f t="shared" si="12"/>
        <v>100</v>
      </c>
      <c r="T35" s="1506" t="s">
        <v>11</v>
      </c>
      <c r="U35" s="1507">
        <f t="shared" si="13"/>
        <v>100</v>
      </c>
      <c r="V35" s="1506" t="s">
        <v>11</v>
      </c>
      <c r="W35" s="1507">
        <f t="shared" si="14"/>
        <v>100</v>
      </c>
      <c r="X35" s="1500"/>
      <c r="Y35" s="3596"/>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596"/>
      <c r="Q36" s="1505" t="str">
        <f t="shared" si="11"/>
        <v>公共部分装修</v>
      </c>
      <c r="R36" s="1506" t="s">
        <v>11</v>
      </c>
      <c r="S36" s="1507">
        <f t="shared" si="12"/>
        <v>100</v>
      </c>
      <c r="T36" s="1506" t="s">
        <v>11</v>
      </c>
      <c r="U36" s="1507">
        <f t="shared" si="13"/>
        <v>100</v>
      </c>
      <c r="V36" s="1506" t="s">
        <v>11</v>
      </c>
      <c r="W36" s="1507">
        <f t="shared" si="14"/>
        <v>100</v>
      </c>
      <c r="X36" s="1500"/>
      <c r="Y36" s="3596"/>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596"/>
      <c r="Q37" s="1132" t="str">
        <f t="shared" si="11"/>
        <v>成新度</v>
      </c>
      <c r="R37" s="1501" t="s">
        <v>11</v>
      </c>
      <c r="S37" s="1502" t="e">
        <f t="shared" si="12"/>
        <v>#N/A</v>
      </c>
      <c r="T37" s="1501" t="s">
        <v>11</v>
      </c>
      <c r="U37" s="1502" t="e">
        <f t="shared" si="13"/>
        <v>#N/A</v>
      </c>
      <c r="V37" s="1501" t="s">
        <v>11</v>
      </c>
      <c r="W37" s="1502" t="e">
        <f t="shared" si="14"/>
        <v>#N/A</v>
      </c>
      <c r="X37" s="1503"/>
      <c r="Y37" s="3596"/>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596" t="s">
        <v>542</v>
      </c>
      <c r="Q38" s="1505" t="str">
        <f t="shared" si="11"/>
        <v>物业管理</v>
      </c>
      <c r="R38" s="1506" t="s">
        <v>11</v>
      </c>
      <c r="S38" s="1507">
        <f t="shared" si="12"/>
        <v>100</v>
      </c>
      <c r="T38" s="1506" t="s">
        <v>11</v>
      </c>
      <c r="U38" s="1507">
        <f t="shared" si="13"/>
        <v>100</v>
      </c>
      <c r="V38" s="1506" t="s">
        <v>11</v>
      </c>
      <c r="W38" s="1507">
        <f t="shared" si="14"/>
        <v>100</v>
      </c>
      <c r="X38" s="1500"/>
      <c r="Y38" s="3596"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596"/>
      <c r="Q39" s="1505" t="str">
        <f t="shared" si="11"/>
        <v>市政基础设施</v>
      </c>
      <c r="R39" s="1506" t="s">
        <v>11</v>
      </c>
      <c r="S39" s="1507">
        <f t="shared" si="12"/>
        <v>100</v>
      </c>
      <c r="T39" s="1506" t="s">
        <v>11</v>
      </c>
      <c r="U39" s="1507">
        <f t="shared" si="13"/>
        <v>100</v>
      </c>
      <c r="V39" s="1506" t="s">
        <v>11</v>
      </c>
      <c r="W39" s="1507">
        <f t="shared" si="14"/>
        <v>100</v>
      </c>
      <c r="X39" s="1500"/>
      <c r="Y39" s="3596"/>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596"/>
      <c r="Q40" s="1505" t="str">
        <f t="shared" si="11"/>
        <v>房型</v>
      </c>
      <c r="R40" s="1506" t="s">
        <v>11</v>
      </c>
      <c r="S40" s="1507">
        <f t="shared" si="12"/>
        <v>100</v>
      </c>
      <c r="T40" s="1506" t="s">
        <v>11</v>
      </c>
      <c r="U40" s="1507">
        <f t="shared" si="13"/>
        <v>100</v>
      </c>
      <c r="V40" s="1506" t="s">
        <v>11</v>
      </c>
      <c r="W40" s="1507">
        <f t="shared" si="14"/>
        <v>100</v>
      </c>
      <c r="X40" s="1500"/>
      <c r="Y40" s="3596"/>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596"/>
      <c r="Q41" s="1534" t="str">
        <f t="shared" si="11"/>
        <v>单套/主力户型建筑面积</v>
      </c>
      <c r="R41" s="1510" t="s">
        <v>11</v>
      </c>
      <c r="S41" s="1511">
        <f t="shared" si="12"/>
        <v>100</v>
      </c>
      <c r="T41" s="1510" t="s">
        <v>11</v>
      </c>
      <c r="U41" s="1511">
        <f t="shared" si="13"/>
        <v>100</v>
      </c>
      <c r="V41" s="1510" t="s">
        <v>11</v>
      </c>
      <c r="W41" s="1511">
        <f t="shared" si="14"/>
        <v>100</v>
      </c>
      <c r="X41" s="1512"/>
      <c r="Y41" s="3596"/>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596"/>
      <c r="Q42" s="1505" t="str">
        <f t="shared" si="11"/>
        <v>内部装修</v>
      </c>
      <c r="R42" s="1506" t="s">
        <v>11</v>
      </c>
      <c r="S42" s="1507">
        <f t="shared" si="12"/>
        <v>100</v>
      </c>
      <c r="T42" s="1506" t="s">
        <v>11</v>
      </c>
      <c r="U42" s="1507">
        <f t="shared" si="13"/>
        <v>100</v>
      </c>
      <c r="V42" s="1506" t="s">
        <v>11</v>
      </c>
      <c r="W42" s="1507">
        <f t="shared" si="14"/>
        <v>100</v>
      </c>
      <c r="X42" s="1500"/>
      <c r="Y42" s="3596"/>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596"/>
      <c r="Q43" s="1505" t="str">
        <f t="shared" si="11"/>
        <v>内部装修维护情况</v>
      </c>
      <c r="R43" s="1506" t="s">
        <v>11</v>
      </c>
      <c r="S43" s="1507">
        <f t="shared" si="12"/>
        <v>100</v>
      </c>
      <c r="T43" s="1506" t="s">
        <v>11</v>
      </c>
      <c r="U43" s="1507">
        <f t="shared" si="13"/>
        <v>100</v>
      </c>
      <c r="V43" s="1506" t="s">
        <v>11</v>
      </c>
      <c r="W43" s="1507">
        <f t="shared" si="14"/>
        <v>100</v>
      </c>
      <c r="X43" s="1500"/>
      <c r="Y43" s="3596"/>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596"/>
      <c r="Q44" s="1132">
        <f t="shared" si="11"/>
        <v>111</v>
      </c>
      <c r="R44" s="1501" t="s">
        <v>11</v>
      </c>
      <c r="S44" s="1502">
        <f t="shared" si="12"/>
        <v>100</v>
      </c>
      <c r="T44" s="1501" t="s">
        <v>11</v>
      </c>
      <c r="U44" s="1502">
        <f t="shared" si="13"/>
        <v>100</v>
      </c>
      <c r="V44" s="1501" t="s">
        <v>11</v>
      </c>
      <c r="W44" s="1502">
        <f t="shared" si="14"/>
        <v>100</v>
      </c>
      <c r="X44" s="1503"/>
      <c r="Y44" s="3596"/>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596"/>
      <c r="Q45" s="1505">
        <f t="shared" si="11"/>
        <v>111</v>
      </c>
      <c r="R45" s="1506" t="s">
        <v>11</v>
      </c>
      <c r="S45" s="1507">
        <f t="shared" si="12"/>
        <v>100</v>
      </c>
      <c r="T45" s="1506" t="s">
        <v>11</v>
      </c>
      <c r="U45" s="1507">
        <f t="shared" si="13"/>
        <v>100</v>
      </c>
      <c r="V45" s="1506" t="s">
        <v>11</v>
      </c>
      <c r="W45" s="1507">
        <f t="shared" si="14"/>
        <v>100</v>
      </c>
      <c r="X45" s="1500"/>
      <c r="Y45" s="3596"/>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7"/>
      <c r="Q46" s="1505">
        <f t="shared" si="11"/>
        <v>111</v>
      </c>
      <c r="R46" s="1506" t="s">
        <v>10</v>
      </c>
      <c r="S46" s="1507">
        <f t="shared" si="12"/>
        <v>100</v>
      </c>
      <c r="T46" s="1506" t="s">
        <v>10</v>
      </c>
      <c r="U46" s="1507">
        <f t="shared" si="13"/>
        <v>100</v>
      </c>
      <c r="V46" s="1506" t="s">
        <v>10</v>
      </c>
      <c r="W46" s="1507">
        <f t="shared" si="14"/>
        <v>100</v>
      </c>
      <c r="X46" s="1500"/>
      <c r="Y46" s="3697"/>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91" t="str">
        <f>A47</f>
        <v>成交单价（元/平方米）</v>
      </c>
      <c r="Q47" s="3591"/>
      <c r="R47" s="3696">
        <f>E47</f>
        <v>0</v>
      </c>
      <c r="S47" s="3696"/>
      <c r="T47" s="3696">
        <f>G47</f>
        <v>0</v>
      </c>
      <c r="U47" s="3696"/>
      <c r="V47" s="3696">
        <f>I47</f>
        <v>0</v>
      </c>
      <c r="W47" s="3696"/>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91" t="str">
        <f>A48</f>
        <v>比较价格（元/平方米）</v>
      </c>
      <c r="Q48" s="3591"/>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612" t="str">
        <f>A49</f>
        <v>估价对象XX用房的比较价格（楼面单价，元/平方米）</v>
      </c>
      <c r="Q49" s="3613"/>
      <c r="R49" s="3695" t="e">
        <f>IF(F1="售价",ROUND(IF(D48="简单平均",AVERAGE(R48:V48),R48*F48+T48*H48+V48*J48),0),ROUND(IF(D48="简单平均",AVERAGE(R48:V48),R48*F48+T48*H48+V48*J48),1))</f>
        <v>#DIV/0!</v>
      </c>
      <c r="S49" s="3695"/>
      <c r="T49" s="3695"/>
      <c r="U49" s="3695"/>
      <c r="V49" s="3695"/>
      <c r="W49" s="3695"/>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topLeftCell="A4" zoomScale="80" zoomScaleNormal="60" zoomScaleSheetLayoutView="80" workbookViewId="0">
      <selection activeCell="J23" sqref="J23"/>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5.4</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97" t="s">
        <v>514</v>
      </c>
      <c r="D4" s="3598"/>
      <c r="E4" s="3622" t="s">
        <v>515</v>
      </c>
      <c r="F4" s="3623"/>
      <c r="G4" s="3597" t="s">
        <v>516</v>
      </c>
      <c r="H4" s="3598"/>
      <c r="I4" s="3597" t="s">
        <v>517</v>
      </c>
      <c r="J4" s="3598"/>
      <c r="K4" s="506" t="s">
        <v>518</v>
      </c>
      <c r="L4" s="2013"/>
      <c r="M4" s="2014"/>
      <c r="N4" s="2014"/>
      <c r="O4" s="2014"/>
      <c r="P4" s="3599" t="s">
        <v>519</v>
      </c>
      <c r="Q4" s="3600"/>
      <c r="R4" s="3585" t="s">
        <v>515</v>
      </c>
      <c r="S4" s="3586"/>
      <c r="T4" s="3585" t="s">
        <v>516</v>
      </c>
      <c r="U4" s="3586"/>
      <c r="V4" s="3605" t="s">
        <v>517</v>
      </c>
      <c r="W4" s="3605"/>
      <c r="X4" s="1500"/>
      <c r="Y4" s="3585" t="s">
        <v>519</v>
      </c>
      <c r="Z4" s="3586"/>
      <c r="AA4" s="3580" t="s">
        <v>515</v>
      </c>
      <c r="AB4" s="3605" t="s">
        <v>516</v>
      </c>
      <c r="AC4" s="3580" t="s">
        <v>517</v>
      </c>
    </row>
    <row r="5" spans="1:29" ht="15">
      <c r="A5" s="507"/>
      <c r="B5" s="508"/>
      <c r="C5" s="3608" t="s">
        <v>2892</v>
      </c>
      <c r="D5" s="3609"/>
      <c r="E5" s="3624" t="str">
        <f>商业案例截图及地图!H1</f>
        <v>玉桥西路101号</v>
      </c>
      <c r="F5" s="3625"/>
      <c r="G5" s="3608" t="str">
        <f>商业案例截图及地图!H16</f>
        <v>格瑞雅居</v>
      </c>
      <c r="H5" s="3609"/>
      <c r="I5" s="3698" t="s">
        <v>3139</v>
      </c>
      <c r="J5" s="3609"/>
      <c r="K5" s="506"/>
      <c r="L5" s="2013"/>
      <c r="M5" s="2014"/>
      <c r="N5" s="2014"/>
      <c r="O5" s="2014"/>
      <c r="P5" s="3601"/>
      <c r="Q5" s="3602"/>
      <c r="R5" s="3587"/>
      <c r="S5" s="3588"/>
      <c r="T5" s="3587"/>
      <c r="U5" s="3588"/>
      <c r="V5" s="3605"/>
      <c r="W5" s="3605"/>
      <c r="X5" s="1500"/>
      <c r="Y5" s="3587"/>
      <c r="Z5" s="3588"/>
      <c r="AA5" s="3581"/>
      <c r="AB5" s="3605"/>
      <c r="AC5" s="3581"/>
    </row>
    <row r="6" spans="1:29" ht="15.75" thickBot="1">
      <c r="A6" s="509"/>
      <c r="B6" s="510"/>
      <c r="C6" s="3606" t="s">
        <v>2896</v>
      </c>
      <c r="D6" s="3607"/>
      <c r="E6" s="3626" t="s">
        <v>2896</v>
      </c>
      <c r="F6" s="3627"/>
      <c r="G6" s="3606" t="s">
        <v>2896</v>
      </c>
      <c r="H6" s="3607"/>
      <c r="I6" s="3606" t="s">
        <v>2896</v>
      </c>
      <c r="J6" s="3607"/>
      <c r="K6" s="506" t="s">
        <v>520</v>
      </c>
      <c r="L6" s="2013"/>
      <c r="M6" s="2014"/>
      <c r="N6" s="2014"/>
      <c r="O6" s="2014"/>
      <c r="P6" s="3603"/>
      <c r="Q6" s="3604"/>
      <c r="R6" s="3587"/>
      <c r="S6" s="3588"/>
      <c r="T6" s="3589"/>
      <c r="U6" s="3590"/>
      <c r="V6" s="3605"/>
      <c r="W6" s="3605"/>
      <c r="X6" s="1500"/>
      <c r="Y6" s="3589"/>
      <c r="Z6" s="3590"/>
      <c r="AA6" s="3582"/>
      <c r="AB6" s="3605"/>
      <c r="AC6" s="3582"/>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583" t="s">
        <v>522</v>
      </c>
      <c r="Q7" s="3592"/>
      <c r="R7" s="1501" t="s">
        <v>8</v>
      </c>
      <c r="S7" s="1502">
        <f t="shared" ref="S7:S15" si="0">F7</f>
        <v>100</v>
      </c>
      <c r="T7" s="1501" t="s">
        <v>8</v>
      </c>
      <c r="U7" s="1502">
        <f t="shared" ref="U7:U15" si="1">H7</f>
        <v>100</v>
      </c>
      <c r="V7" s="1501" t="s">
        <v>8</v>
      </c>
      <c r="W7" s="1502">
        <f t="shared" ref="W7:W15" si="2">J7</f>
        <v>100</v>
      </c>
      <c r="X7" s="1503"/>
      <c r="Y7" s="3583" t="s">
        <v>522</v>
      </c>
      <c r="Z7" s="3584"/>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583" t="s">
        <v>525</v>
      </c>
      <c r="Q8" s="3584"/>
      <c r="R8" s="1501" t="s">
        <v>8</v>
      </c>
      <c r="S8" s="1502">
        <f t="shared" si="0"/>
        <v>100</v>
      </c>
      <c r="T8" s="1501" t="s">
        <v>8</v>
      </c>
      <c r="U8" s="1502">
        <f t="shared" si="1"/>
        <v>100</v>
      </c>
      <c r="V8" s="1501" t="s">
        <v>8</v>
      </c>
      <c r="W8" s="1502">
        <f t="shared" si="2"/>
        <v>100</v>
      </c>
      <c r="X8" s="1503"/>
      <c r="Y8" s="3583" t="s">
        <v>525</v>
      </c>
      <c r="Z8" s="3584"/>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91" t="s">
        <v>527</v>
      </c>
      <c r="Q9" s="1132" t="str">
        <f t="shared" ref="Q9:Q15" si="6">B9</f>
        <v>用途</v>
      </c>
      <c r="R9" s="1501" t="s">
        <v>8</v>
      </c>
      <c r="S9" s="1502">
        <f t="shared" si="0"/>
        <v>100</v>
      </c>
      <c r="T9" s="1501" t="s">
        <v>8</v>
      </c>
      <c r="U9" s="1502">
        <f t="shared" si="1"/>
        <v>100</v>
      </c>
      <c r="V9" s="1501" t="s">
        <v>8</v>
      </c>
      <c r="W9" s="1502">
        <f t="shared" si="2"/>
        <v>100</v>
      </c>
      <c r="X9" s="1503"/>
      <c r="Y9" s="3542"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91"/>
      <c r="Q10" s="1132" t="str">
        <f t="shared" si="6"/>
        <v>土地使用年限（年）</v>
      </c>
      <c r="R10" s="1501" t="s">
        <v>8</v>
      </c>
      <c r="S10" s="1502">
        <f t="shared" si="0"/>
        <v>98</v>
      </c>
      <c r="T10" s="1501" t="s">
        <v>8</v>
      </c>
      <c r="U10" s="1502">
        <f t="shared" si="1"/>
        <v>98</v>
      </c>
      <c r="V10" s="1501" t="s">
        <v>8</v>
      </c>
      <c r="W10" s="1502">
        <f t="shared" si="2"/>
        <v>100</v>
      </c>
      <c r="X10" s="1503"/>
      <c r="Y10" s="3542"/>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91"/>
      <c r="Q11" s="1132" t="str">
        <f t="shared" si="6"/>
        <v>容积率</v>
      </c>
      <c r="R11" s="1501" t="s">
        <v>8</v>
      </c>
      <c r="S11" s="1502">
        <f t="shared" si="0"/>
        <v>100</v>
      </c>
      <c r="T11" s="1501" t="s">
        <v>8</v>
      </c>
      <c r="U11" s="1502">
        <f t="shared" si="1"/>
        <v>100</v>
      </c>
      <c r="V11" s="1501" t="s">
        <v>8</v>
      </c>
      <c r="W11" s="1502">
        <f t="shared" si="2"/>
        <v>100</v>
      </c>
      <c r="X11" s="1503"/>
      <c r="Y11" s="3542"/>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91"/>
      <c r="Q12" s="1132">
        <f t="shared" si="6"/>
        <v>111</v>
      </c>
      <c r="R12" s="1501" t="s">
        <v>8</v>
      </c>
      <c r="S12" s="1502">
        <f t="shared" si="0"/>
        <v>100</v>
      </c>
      <c r="T12" s="1501" t="s">
        <v>8</v>
      </c>
      <c r="U12" s="1502">
        <f t="shared" si="1"/>
        <v>100</v>
      </c>
      <c r="V12" s="1501" t="s">
        <v>8</v>
      </c>
      <c r="W12" s="1502">
        <f t="shared" si="2"/>
        <v>100</v>
      </c>
      <c r="X12" s="1503"/>
      <c r="Y12" s="3542"/>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91"/>
      <c r="Q13" s="1132">
        <f t="shared" si="6"/>
        <v>111</v>
      </c>
      <c r="R13" s="1501" t="s">
        <v>8</v>
      </c>
      <c r="S13" s="1502">
        <f t="shared" si="0"/>
        <v>100</v>
      </c>
      <c r="T13" s="1501" t="s">
        <v>8</v>
      </c>
      <c r="U13" s="1502">
        <f t="shared" si="1"/>
        <v>100</v>
      </c>
      <c r="V13" s="1501" t="s">
        <v>8</v>
      </c>
      <c r="W13" s="1502">
        <f t="shared" si="2"/>
        <v>100</v>
      </c>
      <c r="X13" s="1503"/>
      <c r="Y13" s="3542"/>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91"/>
      <c r="Q14" s="1132">
        <f t="shared" si="6"/>
        <v>111</v>
      </c>
      <c r="R14" s="1501" t="s">
        <v>8</v>
      </c>
      <c r="S14" s="1502">
        <f t="shared" si="0"/>
        <v>100</v>
      </c>
      <c r="T14" s="1501" t="s">
        <v>8</v>
      </c>
      <c r="U14" s="1502">
        <f t="shared" si="1"/>
        <v>100</v>
      </c>
      <c r="V14" s="1501" t="s">
        <v>8</v>
      </c>
      <c r="W14" s="1502">
        <f t="shared" si="2"/>
        <v>100</v>
      </c>
      <c r="X14" s="1503"/>
      <c r="Y14" s="3542"/>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593" t="s">
        <v>532</v>
      </c>
      <c r="Q15" s="1505" t="str">
        <f t="shared" si="6"/>
        <v>商业繁华度</v>
      </c>
      <c r="R15" s="1506" t="s">
        <v>8</v>
      </c>
      <c r="S15" s="1507">
        <f t="shared" si="0"/>
        <v>102</v>
      </c>
      <c r="T15" s="1506" t="s">
        <v>8</v>
      </c>
      <c r="U15" s="1507">
        <f t="shared" si="1"/>
        <v>102</v>
      </c>
      <c r="V15" s="1506" t="s">
        <v>8</v>
      </c>
      <c r="W15" s="1507">
        <f t="shared" si="2"/>
        <v>102</v>
      </c>
      <c r="X15" s="1500"/>
      <c r="Y15" s="3593"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594"/>
      <c r="Q16" s="1505"/>
      <c r="R16" s="1506"/>
      <c r="S16" s="1507"/>
      <c r="T16" s="1506"/>
      <c r="U16" s="1507"/>
      <c r="V16" s="1506"/>
      <c r="W16" s="1507"/>
      <c r="X16" s="1500"/>
      <c r="Y16" s="3594"/>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594"/>
      <c r="Q17" s="1505" t="str">
        <f>B17</f>
        <v>交通便捷度</v>
      </c>
      <c r="R17" s="1506" t="s">
        <v>8</v>
      </c>
      <c r="S17" s="1507">
        <f>F17</f>
        <v>100</v>
      </c>
      <c r="T17" s="1506" t="s">
        <v>8</v>
      </c>
      <c r="U17" s="1507">
        <f>H17</f>
        <v>100</v>
      </c>
      <c r="V17" s="1506" t="s">
        <v>8</v>
      </c>
      <c r="W17" s="1507">
        <f>J17</f>
        <v>100</v>
      </c>
      <c r="X17" s="1500"/>
      <c r="Y17" s="3594"/>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594"/>
      <c r="Q18" s="1505"/>
      <c r="R18" s="1506"/>
      <c r="S18" s="1507"/>
      <c r="T18" s="1506"/>
      <c r="U18" s="1507"/>
      <c r="V18" s="1506"/>
      <c r="W18" s="1507"/>
      <c r="X18" s="1500"/>
      <c r="Y18" s="3594"/>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594"/>
      <c r="Q19" s="1505" t="str">
        <f>B19</f>
        <v>公共配套设施</v>
      </c>
      <c r="R19" s="1506" t="s">
        <v>8</v>
      </c>
      <c r="S19" s="1507">
        <f>F19</f>
        <v>102</v>
      </c>
      <c r="T19" s="1506" t="s">
        <v>8</v>
      </c>
      <c r="U19" s="1507">
        <f>H19</f>
        <v>102</v>
      </c>
      <c r="V19" s="1506" t="s">
        <v>8</v>
      </c>
      <c r="W19" s="1507">
        <f>J19</f>
        <v>102</v>
      </c>
      <c r="X19" s="1500"/>
      <c r="Y19" s="3594"/>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594"/>
      <c r="Q20" s="1505"/>
      <c r="R20" s="1506"/>
      <c r="S20" s="1507"/>
      <c r="T20" s="1506"/>
      <c r="U20" s="1507"/>
      <c r="V20" s="1506"/>
      <c r="W20" s="1507"/>
      <c r="X20" s="1500"/>
      <c r="Y20" s="3594"/>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594"/>
      <c r="Q21" s="2427" t="str">
        <f>B21</f>
        <v>基础设施水平</v>
      </c>
      <c r="R21" s="1506" t="s">
        <v>8</v>
      </c>
      <c r="S21" s="1507">
        <f>F21</f>
        <v>100</v>
      </c>
      <c r="T21" s="1506" t="s">
        <v>8</v>
      </c>
      <c r="U21" s="1507">
        <f>H21</f>
        <v>100</v>
      </c>
      <c r="V21" s="1506" t="s">
        <v>8</v>
      </c>
      <c r="W21" s="1507">
        <f>J21</f>
        <v>100</v>
      </c>
      <c r="X21" s="2429"/>
      <c r="Y21" s="3594"/>
      <c r="Z21" s="2428" t="str">
        <f>Q21</f>
        <v>基础设施水平</v>
      </c>
      <c r="AA21" s="1509">
        <f t="shared" ref="AA21" si="8">D21/F21</f>
        <v>1</v>
      </c>
      <c r="AB21" s="1509">
        <f t="shared" ref="AB21" si="9">D21/H21</f>
        <v>1</v>
      </c>
      <c r="AC21" s="1509">
        <f t="shared" ref="AC21" si="10">D21/J21</f>
        <v>1</v>
      </c>
    </row>
    <row r="22" spans="1:29" ht="15">
      <c r="A22" s="524"/>
      <c r="B22" s="909"/>
      <c r="C22" s="860" t="s">
        <v>3173</v>
      </c>
      <c r="D22" s="547"/>
      <c r="E22" s="568" t="s">
        <v>3173</v>
      </c>
      <c r="F22" s="549"/>
      <c r="G22" s="568" t="s">
        <v>3173</v>
      </c>
      <c r="H22" s="547"/>
      <c r="I22" s="568" t="s">
        <v>3173</v>
      </c>
      <c r="J22" s="547"/>
      <c r="K22" s="2444"/>
      <c r="L22" s="2022"/>
      <c r="M22" s="2014"/>
      <c r="N22" s="2014"/>
      <c r="O22" s="2021"/>
      <c r="P22" s="3594"/>
      <c r="Q22" s="2427"/>
      <c r="R22" s="1506"/>
      <c r="S22" s="1507"/>
      <c r="T22" s="1506"/>
      <c r="U22" s="1507"/>
      <c r="V22" s="1506"/>
      <c r="W22" s="1507"/>
      <c r="X22" s="2429"/>
      <c r="Y22" s="3594"/>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594"/>
      <c r="Q23" s="1505" t="str">
        <f>B23</f>
        <v>自然及人文环境</v>
      </c>
      <c r="R23" s="1506" t="s">
        <v>8</v>
      </c>
      <c r="S23" s="1507">
        <f>F23</f>
        <v>96</v>
      </c>
      <c r="T23" s="1506" t="s">
        <v>8</v>
      </c>
      <c r="U23" s="1507">
        <f>H23</f>
        <v>96</v>
      </c>
      <c r="V23" s="1506" t="s">
        <v>8</v>
      </c>
      <c r="W23" s="1507">
        <f>J23</f>
        <v>98</v>
      </c>
      <c r="X23" s="1500"/>
      <c r="Y23" s="3594"/>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594"/>
      <c r="Q24" s="1505"/>
      <c r="R24" s="1506"/>
      <c r="S24" s="1507"/>
      <c r="T24" s="1506"/>
      <c r="U24" s="1507"/>
      <c r="V24" s="1506"/>
      <c r="W24" s="1507"/>
      <c r="X24" s="1500"/>
      <c r="Y24" s="3594"/>
      <c r="Z24" s="1508"/>
      <c r="AA24" s="1509">
        <v>1</v>
      </c>
      <c r="AB24" s="1509">
        <v>1</v>
      </c>
      <c r="AC24" s="1509">
        <v>1</v>
      </c>
    </row>
    <row r="25" spans="1:29" ht="15">
      <c r="A25" s="524"/>
      <c r="B25" s="519" t="s">
        <v>539</v>
      </c>
      <c r="C25" s="575" t="s">
        <v>3174</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594"/>
      <c r="Q25" s="1505" t="str">
        <f t="shared" ref="Q25:Q46" si="11">B25</f>
        <v>临街状况</v>
      </c>
      <c r="R25" s="1506" t="s">
        <v>8</v>
      </c>
      <c r="S25" s="1507">
        <f>F25</f>
        <v>94</v>
      </c>
      <c r="T25" s="1506" t="s">
        <v>8</v>
      </c>
      <c r="U25" s="1507">
        <f>H25</f>
        <v>94</v>
      </c>
      <c r="V25" s="1506" t="s">
        <v>8</v>
      </c>
      <c r="W25" s="1507">
        <f>J25</f>
        <v>96</v>
      </c>
      <c r="X25" s="1500"/>
      <c r="Y25" s="3594"/>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594"/>
      <c r="Q26" s="1505" t="str">
        <f t="shared" si="11"/>
        <v>平面位置/可视性</v>
      </c>
      <c r="R26" s="1506" t="s">
        <v>8</v>
      </c>
      <c r="S26" s="1507">
        <f>F26</f>
        <v>100</v>
      </c>
      <c r="T26" s="1506" t="s">
        <v>8</v>
      </c>
      <c r="U26" s="1507">
        <f>H26</f>
        <v>100</v>
      </c>
      <c r="V26" s="1506" t="s">
        <v>8</v>
      </c>
      <c r="W26" s="1507">
        <f>J26</f>
        <v>100</v>
      </c>
      <c r="X26" s="1500"/>
      <c r="Y26" s="3594"/>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594"/>
      <c r="Q27" s="1132" t="str">
        <f t="shared" si="11"/>
        <v>人流量</v>
      </c>
      <c r="R27" s="1501" t="s">
        <v>8</v>
      </c>
      <c r="S27" s="1502">
        <f>F27</f>
        <v>98</v>
      </c>
      <c r="T27" s="1501" t="s">
        <v>8</v>
      </c>
      <c r="U27" s="1502">
        <f>H27</f>
        <v>96</v>
      </c>
      <c r="V27" s="1501" t="s">
        <v>8</v>
      </c>
      <c r="W27" s="1502">
        <f>J27</f>
        <v>100</v>
      </c>
      <c r="X27" s="1503"/>
      <c r="Y27" s="3594"/>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594"/>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94"/>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594"/>
      <c r="Q29" s="1505">
        <f t="shared" si="11"/>
        <v>111</v>
      </c>
      <c r="R29" s="1506" t="s">
        <v>8</v>
      </c>
      <c r="S29" s="1507">
        <f t="shared" si="12"/>
        <v>100</v>
      </c>
      <c r="T29" s="1506" t="s">
        <v>8</v>
      </c>
      <c r="U29" s="1507">
        <f t="shared" si="13"/>
        <v>100</v>
      </c>
      <c r="V29" s="1506" t="s">
        <v>8</v>
      </c>
      <c r="W29" s="1507">
        <f t="shared" si="14"/>
        <v>100</v>
      </c>
      <c r="X29" s="1500"/>
      <c r="Y29" s="3594"/>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594"/>
      <c r="Q30" s="1505">
        <f t="shared" si="11"/>
        <v>111</v>
      </c>
      <c r="R30" s="1506" t="s">
        <v>8</v>
      </c>
      <c r="S30" s="1507">
        <f t="shared" si="12"/>
        <v>100</v>
      </c>
      <c r="T30" s="1506" t="s">
        <v>8</v>
      </c>
      <c r="U30" s="1507">
        <f t="shared" si="13"/>
        <v>100</v>
      </c>
      <c r="V30" s="1506" t="s">
        <v>8</v>
      </c>
      <c r="W30" s="1507">
        <f t="shared" si="14"/>
        <v>100</v>
      </c>
      <c r="X30" s="1500"/>
      <c r="Y30" s="3594"/>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594"/>
      <c r="Q31" s="1505">
        <f t="shared" si="11"/>
        <v>111</v>
      </c>
      <c r="R31" s="1506" t="s">
        <v>8</v>
      </c>
      <c r="S31" s="1507">
        <f t="shared" si="12"/>
        <v>100</v>
      </c>
      <c r="T31" s="1506" t="s">
        <v>8</v>
      </c>
      <c r="U31" s="1507">
        <f t="shared" si="13"/>
        <v>100</v>
      </c>
      <c r="V31" s="1506" t="s">
        <v>8</v>
      </c>
      <c r="W31" s="1507">
        <f t="shared" si="14"/>
        <v>100</v>
      </c>
      <c r="X31" s="1500"/>
      <c r="Y31" s="3594"/>
      <c r="Z31" s="1508">
        <f t="shared" si="15"/>
        <v>111</v>
      </c>
      <c r="AA31" s="1509">
        <f t="shared" si="3"/>
        <v>1</v>
      </c>
      <c r="AB31" s="1509">
        <f t="shared" si="4"/>
        <v>1</v>
      </c>
      <c r="AC31" s="1509">
        <f t="shared" si="5"/>
        <v>1</v>
      </c>
    </row>
    <row r="32" spans="1:29" ht="27">
      <c r="A32" s="2622" t="s">
        <v>2733</v>
      </c>
      <c r="B32" s="169" t="s">
        <v>754</v>
      </c>
      <c r="C32" s="865" t="s">
        <v>3108</v>
      </c>
      <c r="D32" s="589">
        <v>100</v>
      </c>
      <c r="E32" s="865" t="s">
        <v>3108</v>
      </c>
      <c r="F32" s="567">
        <f>SUMIF(100:100,E32,101:101)-SUMIF(100:100,C32,101:101)+100</f>
        <v>100</v>
      </c>
      <c r="G32" s="865" t="s">
        <v>3111</v>
      </c>
      <c r="H32" s="532">
        <f>SUMIF(100:100,G32,101:101)-SUMIF(100:100,C32,101:101)+100</f>
        <v>96</v>
      </c>
      <c r="I32" s="865" t="s">
        <v>3106</v>
      </c>
      <c r="J32" s="589">
        <f>SUMIF(100:100,I32,101:101)-SUMIF(100:100,C32,101:101)+100</f>
        <v>102</v>
      </c>
      <c r="K32" s="576">
        <v>2</v>
      </c>
      <c r="L32" s="2022"/>
      <c r="M32" s="2014"/>
      <c r="N32" s="2014"/>
      <c r="O32" s="2021"/>
      <c r="P32" s="3595" t="s">
        <v>542</v>
      </c>
      <c r="Q32" s="1505" t="str">
        <f t="shared" si="11"/>
        <v>商业类型</v>
      </c>
      <c r="R32" s="1506" t="s">
        <v>8</v>
      </c>
      <c r="S32" s="1507">
        <f t="shared" si="12"/>
        <v>100</v>
      </c>
      <c r="T32" s="1506" t="s">
        <v>8</v>
      </c>
      <c r="U32" s="1507">
        <f t="shared" si="13"/>
        <v>96</v>
      </c>
      <c r="V32" s="1506" t="s">
        <v>8</v>
      </c>
      <c r="W32" s="1507">
        <f t="shared" si="14"/>
        <v>102</v>
      </c>
      <c r="X32" s="1500"/>
      <c r="Y32" s="3596" t="s">
        <v>542</v>
      </c>
      <c r="Z32" s="1508" t="str">
        <f t="shared" si="15"/>
        <v>商业类型</v>
      </c>
      <c r="AA32" s="1509">
        <f t="shared" si="3"/>
        <v>1</v>
      </c>
      <c r="AB32" s="1509">
        <f t="shared" si="4"/>
        <v>1.0416666666666667</v>
      </c>
      <c r="AC32" s="1509">
        <f t="shared" si="5"/>
        <v>0.98039215686274506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596"/>
      <c r="Q33" s="1534" t="str">
        <f t="shared" si="11"/>
        <v>项目建筑规模</v>
      </c>
      <c r="R33" s="1510" t="s">
        <v>8</v>
      </c>
      <c r="S33" s="1511">
        <f t="shared" si="12"/>
        <v>102</v>
      </c>
      <c r="T33" s="1510" t="s">
        <v>8</v>
      </c>
      <c r="U33" s="1511">
        <f t="shared" si="13"/>
        <v>102</v>
      </c>
      <c r="V33" s="1510" t="s">
        <v>8</v>
      </c>
      <c r="W33" s="1511">
        <f t="shared" si="14"/>
        <v>102</v>
      </c>
      <c r="X33" s="1512"/>
      <c r="Y33" s="3596"/>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596"/>
      <c r="Q34" s="1505" t="str">
        <f t="shared" si="11"/>
        <v>建筑结构</v>
      </c>
      <c r="R34" s="1506" t="s">
        <v>8</v>
      </c>
      <c r="S34" s="1507">
        <f t="shared" si="12"/>
        <v>100</v>
      </c>
      <c r="T34" s="1506" t="s">
        <v>8</v>
      </c>
      <c r="U34" s="1507">
        <f t="shared" si="13"/>
        <v>100</v>
      </c>
      <c r="V34" s="1506" t="s">
        <v>8</v>
      </c>
      <c r="W34" s="1507">
        <f t="shared" si="14"/>
        <v>100</v>
      </c>
      <c r="X34" s="1500"/>
      <c r="Y34" s="3596"/>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596"/>
      <c r="Q35" s="3362" t="str">
        <f t="shared" si="11"/>
        <v>公共部分装修</v>
      </c>
      <c r="R35" s="3363" t="s">
        <v>8</v>
      </c>
      <c r="S35" s="3364">
        <f t="shared" si="12"/>
        <v>100</v>
      </c>
      <c r="T35" s="3363" t="s">
        <v>8</v>
      </c>
      <c r="U35" s="3364">
        <f t="shared" si="13"/>
        <v>100</v>
      </c>
      <c r="V35" s="3363" t="s">
        <v>8</v>
      </c>
      <c r="W35" s="3364">
        <f t="shared" si="14"/>
        <v>100</v>
      </c>
      <c r="X35" s="3365"/>
      <c r="Y35" s="3596"/>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596"/>
      <c r="Q36" s="1505" t="str">
        <f t="shared" si="11"/>
        <v>成新度</v>
      </c>
      <c r="R36" s="1506" t="s">
        <v>8</v>
      </c>
      <c r="S36" s="1507">
        <f t="shared" si="12"/>
        <v>98</v>
      </c>
      <c r="T36" s="1506" t="s">
        <v>8</v>
      </c>
      <c r="U36" s="1507">
        <f t="shared" si="13"/>
        <v>98</v>
      </c>
      <c r="V36" s="1506" t="s">
        <v>8</v>
      </c>
      <c r="W36" s="1507">
        <f t="shared" si="14"/>
        <v>99</v>
      </c>
      <c r="X36" s="1500"/>
      <c r="Y36" s="3596"/>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596"/>
      <c r="Q37" s="1132" t="str">
        <f t="shared" si="11"/>
        <v>市政基础设施</v>
      </c>
      <c r="R37" s="1501" t="s">
        <v>8</v>
      </c>
      <c r="S37" s="1502">
        <f t="shared" si="12"/>
        <v>100</v>
      </c>
      <c r="T37" s="1501" t="s">
        <v>8</v>
      </c>
      <c r="U37" s="1502">
        <f t="shared" si="13"/>
        <v>100</v>
      </c>
      <c r="V37" s="1501" t="s">
        <v>8</v>
      </c>
      <c r="W37" s="1502">
        <f t="shared" si="14"/>
        <v>100</v>
      </c>
      <c r="X37" s="1503"/>
      <c r="Y37" s="3596"/>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596" t="s">
        <v>758</v>
      </c>
      <c r="Q38" s="1505" t="str">
        <f t="shared" si="11"/>
        <v>业态</v>
      </c>
      <c r="R38" s="1506" t="s">
        <v>8</v>
      </c>
      <c r="S38" s="1507">
        <f t="shared" si="12"/>
        <v>100</v>
      </c>
      <c r="T38" s="1506" t="s">
        <v>8</v>
      </c>
      <c r="U38" s="1507">
        <f t="shared" si="13"/>
        <v>100</v>
      </c>
      <c r="V38" s="1506" t="s">
        <v>8</v>
      </c>
      <c r="W38" s="1507">
        <f t="shared" si="14"/>
        <v>100</v>
      </c>
      <c r="X38" s="1500"/>
      <c r="Y38" s="3596"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596"/>
      <c r="Q39" s="1505" t="str">
        <f t="shared" si="11"/>
        <v>层高</v>
      </c>
      <c r="R39" s="1506" t="s">
        <v>8</v>
      </c>
      <c r="S39" s="1507">
        <f t="shared" si="12"/>
        <v>100</v>
      </c>
      <c r="T39" s="1506" t="s">
        <v>8</v>
      </c>
      <c r="U39" s="1507">
        <f t="shared" si="13"/>
        <v>100</v>
      </c>
      <c r="V39" s="1506" t="s">
        <v>8</v>
      </c>
      <c r="W39" s="1507">
        <f t="shared" si="14"/>
        <v>100</v>
      </c>
      <c r="X39" s="1500"/>
      <c r="Y39" s="3596"/>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596"/>
      <c r="Q40" s="1505" t="str">
        <f t="shared" si="11"/>
        <v>单套建筑面积</v>
      </c>
      <c r="R40" s="1506" t="s">
        <v>8</v>
      </c>
      <c r="S40" s="1507">
        <f t="shared" si="12"/>
        <v>100</v>
      </c>
      <c r="T40" s="1506" t="s">
        <v>8</v>
      </c>
      <c r="U40" s="1507">
        <f t="shared" si="13"/>
        <v>100</v>
      </c>
      <c r="V40" s="1506" t="s">
        <v>8</v>
      </c>
      <c r="W40" s="1507">
        <f t="shared" si="14"/>
        <v>100</v>
      </c>
      <c r="X40" s="1500"/>
      <c r="Y40" s="3596"/>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596"/>
      <c r="Q41" s="1534" t="str">
        <f t="shared" si="11"/>
        <v>进深比</v>
      </c>
      <c r="R41" s="1510" t="s">
        <v>8</v>
      </c>
      <c r="S41" s="1511">
        <f t="shared" si="12"/>
        <v>100</v>
      </c>
      <c r="T41" s="1510" t="s">
        <v>8</v>
      </c>
      <c r="U41" s="1511">
        <f t="shared" si="13"/>
        <v>100</v>
      </c>
      <c r="V41" s="1510" t="s">
        <v>8</v>
      </c>
      <c r="W41" s="1511">
        <f t="shared" si="14"/>
        <v>100</v>
      </c>
      <c r="X41" s="1512"/>
      <c r="Y41" s="3596"/>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596"/>
      <c r="Q42" s="1505" t="str">
        <f t="shared" si="11"/>
        <v>内部装修</v>
      </c>
      <c r="R42" s="1506" t="s">
        <v>8</v>
      </c>
      <c r="S42" s="1507">
        <f t="shared" si="12"/>
        <v>103</v>
      </c>
      <c r="T42" s="1506" t="s">
        <v>8</v>
      </c>
      <c r="U42" s="1507">
        <f t="shared" si="13"/>
        <v>102</v>
      </c>
      <c r="V42" s="1506" t="s">
        <v>8</v>
      </c>
      <c r="W42" s="1507">
        <f t="shared" si="14"/>
        <v>103</v>
      </c>
      <c r="X42" s="1500"/>
      <c r="Y42" s="3596"/>
      <c r="Z42" s="1508" t="str">
        <f t="shared" si="15"/>
        <v>内部装修</v>
      </c>
      <c r="AA42" s="1509">
        <f t="shared" si="3"/>
        <v>0.970873786407767</v>
      </c>
      <c r="AB42" s="1509">
        <f t="shared" si="4"/>
        <v>0.98039215686274506</v>
      </c>
      <c r="AC42" s="1509">
        <f t="shared" si="5"/>
        <v>0.970873786407767</v>
      </c>
    </row>
    <row r="43" spans="1:29" ht="27.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596"/>
      <c r="Q43" s="1505" t="str">
        <f t="shared" si="11"/>
        <v>内部装修维护情况</v>
      </c>
      <c r="R43" s="1506" t="s">
        <v>8</v>
      </c>
      <c r="S43" s="1507">
        <f t="shared" si="12"/>
        <v>100</v>
      </c>
      <c r="T43" s="1506" t="s">
        <v>8</v>
      </c>
      <c r="U43" s="1507">
        <f t="shared" si="13"/>
        <v>100</v>
      </c>
      <c r="V43" s="1506" t="s">
        <v>8</v>
      </c>
      <c r="W43" s="1507">
        <f t="shared" si="14"/>
        <v>100</v>
      </c>
      <c r="X43" s="1500"/>
      <c r="Y43" s="3596"/>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596"/>
      <c r="Q44" s="1132">
        <f t="shared" si="11"/>
        <v>111</v>
      </c>
      <c r="R44" s="1501" t="s">
        <v>8</v>
      </c>
      <c r="S44" s="1502">
        <f t="shared" si="12"/>
        <v>100</v>
      </c>
      <c r="T44" s="1501" t="s">
        <v>8</v>
      </c>
      <c r="U44" s="1502">
        <f t="shared" si="13"/>
        <v>100</v>
      </c>
      <c r="V44" s="1501" t="s">
        <v>8</v>
      </c>
      <c r="W44" s="1502">
        <f t="shared" si="14"/>
        <v>100</v>
      </c>
      <c r="X44" s="1503"/>
      <c r="Y44" s="3596"/>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596"/>
      <c r="Q45" s="1505">
        <f t="shared" si="11"/>
        <v>111</v>
      </c>
      <c r="R45" s="1506" t="s">
        <v>8</v>
      </c>
      <c r="S45" s="1507">
        <f t="shared" si="12"/>
        <v>100</v>
      </c>
      <c r="T45" s="1506" t="s">
        <v>8</v>
      </c>
      <c r="U45" s="1507">
        <f t="shared" si="13"/>
        <v>100</v>
      </c>
      <c r="V45" s="1506" t="s">
        <v>8</v>
      </c>
      <c r="W45" s="1507">
        <f t="shared" si="14"/>
        <v>100</v>
      </c>
      <c r="X45" s="1500"/>
      <c r="Y45" s="3596"/>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7"/>
      <c r="Q46" s="1505">
        <f t="shared" si="11"/>
        <v>111</v>
      </c>
      <c r="R46" s="1506" t="s">
        <v>8</v>
      </c>
      <c r="S46" s="1507">
        <f t="shared" si="12"/>
        <v>100</v>
      </c>
      <c r="T46" s="1506" t="s">
        <v>8</v>
      </c>
      <c r="U46" s="1507">
        <f t="shared" si="13"/>
        <v>100</v>
      </c>
      <c r="V46" s="1506" t="s">
        <v>8</v>
      </c>
      <c r="W46" s="1507">
        <f t="shared" si="14"/>
        <v>100</v>
      </c>
      <c r="X46" s="1500"/>
      <c r="Y46" s="3697"/>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91" t="str">
        <f>A47</f>
        <v>成交单价（元/平方米）</v>
      </c>
      <c r="Q47" s="3591"/>
      <c r="R47" s="3696">
        <f>E47</f>
        <v>5</v>
      </c>
      <c r="S47" s="3696"/>
      <c r="T47" s="3696">
        <f>G47</f>
        <v>4.5</v>
      </c>
      <c r="U47" s="3696"/>
      <c r="V47" s="3696">
        <f>I47</f>
        <v>5.7</v>
      </c>
      <c r="W47" s="3696"/>
      <c r="X47" s="1495"/>
      <c r="Y47" s="1514"/>
      <c r="Z47" s="1495"/>
      <c r="AA47" s="1495"/>
      <c r="AB47" s="1495"/>
      <c r="AC47" s="1495"/>
    </row>
    <row r="48" spans="1:29" ht="26.25" thickBot="1">
      <c r="A48" s="607" t="s">
        <v>2738</v>
      </c>
      <c r="B48" s="875"/>
      <c r="C48" s="2474">
        <f>R49</f>
        <v>5.4</v>
      </c>
      <c r="D48" s="3012" t="s">
        <v>2963</v>
      </c>
      <c r="E48" s="2475">
        <f>R48</f>
        <v>5.4</v>
      </c>
      <c r="F48" s="3013"/>
      <c r="G48" s="2474">
        <f>T48</f>
        <v>5.2</v>
      </c>
      <c r="H48" s="3013"/>
      <c r="I48" s="2475">
        <f>V48</f>
        <v>5.5</v>
      </c>
      <c r="J48" s="3013"/>
      <c r="K48" s="3021">
        <f>F48+H48+J48</f>
        <v>0</v>
      </c>
      <c r="L48" s="2024"/>
      <c r="M48" s="2025"/>
      <c r="N48" s="2014"/>
      <c r="O48" s="2025"/>
      <c r="P48" s="3591" t="str">
        <f>A48</f>
        <v>比较价格（元/平方米）</v>
      </c>
      <c r="Q48" s="3591"/>
      <c r="R48" s="3696">
        <f>IF(F1="售价",ROUND(PRODUCT(R47,AA7:AA46),0),ROUND(PRODUCT(R47,AA7:AA46),1))</f>
        <v>5.4</v>
      </c>
      <c r="S48" s="3696"/>
      <c r="T48" s="3696">
        <f>IF(F1="售价",ROUND(PRODUCT(T47,AB7:AB46),0),ROUND(PRODUCT(T47,AB7:AB46),1))</f>
        <v>5.2</v>
      </c>
      <c r="U48" s="3696"/>
      <c r="V48" s="3696">
        <f>IF(F1="售价",ROUND(PRODUCT(V47,AC7:AC46),0),ROUND(PRODUCT(V47,AC7:AC46),1))</f>
        <v>5.5</v>
      </c>
      <c r="W48" s="3696"/>
      <c r="X48" s="1495"/>
      <c r="Y48" s="1495"/>
      <c r="Z48" s="1495"/>
      <c r="AA48" s="1495"/>
      <c r="AB48" s="1495"/>
      <c r="AC48" s="1495"/>
    </row>
    <row r="49" spans="1:29" ht="15.75" thickBot="1">
      <c r="A49" s="611" t="s">
        <v>2898</v>
      </c>
      <c r="B49" s="612"/>
      <c r="C49" s="2476">
        <f>R49</f>
        <v>5.4</v>
      </c>
      <c r="D49" s="2476"/>
      <c r="E49" s="2476"/>
      <c r="F49" s="2476"/>
      <c r="G49" s="2476"/>
      <c r="H49" s="2476"/>
      <c r="I49" s="2476"/>
      <c r="J49" s="2476"/>
      <c r="K49" s="1540"/>
      <c r="L49" s="2024"/>
      <c r="M49" s="2025"/>
      <c r="N49" s="2014"/>
      <c r="O49" s="2025"/>
      <c r="P49" s="3612" t="str">
        <f>A49</f>
        <v>估价对象XX用房的比较价格（楼面单价，元/平方米）</v>
      </c>
      <c r="Q49" s="3613"/>
      <c r="R49" s="3695">
        <f>IF(F1="售价",ROUND(IF(D48="简单平均",AVERAGE(R48:V48),R48*F48+T48*H48+V48*J48),0),ROUND(IF(D48="简单平均",AVERAGE(R48:V48),R48*F48+T48*H48+V48*J48),1))</f>
        <v>5.4</v>
      </c>
      <c r="S49" s="3695"/>
      <c r="T49" s="3695"/>
      <c r="U49" s="3695"/>
      <c r="V49" s="3695"/>
      <c r="W49" s="3695"/>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8.0000000000000071E-2</v>
      </c>
      <c r="F52" s="617" t="str">
        <f>IF(OR(E52&gt;=0.3,E52&lt;=-0.3),"超过30%","")</f>
        <v/>
      </c>
      <c r="G52" s="616">
        <f>IF(G47&lt;G48,G48/G47-1,G47/G48-1)</f>
        <v>0.15555555555555567</v>
      </c>
      <c r="H52" s="617" t="str">
        <f>IF(OR(G52&gt;=0.3,G52&lt;=-0.3),"超过30%","")</f>
        <v/>
      </c>
      <c r="I52" s="616">
        <f>IF(I47&lt;I48,I48/I47-1,I47/I48-1)</f>
        <v>3.6363636363636376E-2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3.8461538461538547E-2</v>
      </c>
      <c r="F53" s="617" t="str">
        <f>IF(OR(E53&gt;=0.2,E53&lt;=-0.2),"超过20%","")</f>
        <v/>
      </c>
      <c r="G53" s="616">
        <f>IF(G48&lt;I48,I48/G48-1,G48/I48-1)</f>
        <v>5.7692307692307709E-2</v>
      </c>
      <c r="H53" s="617" t="str">
        <f>IF(OR(G53&gt;=0.2,G53&lt;=-0.2),"超过20%","")</f>
        <v/>
      </c>
      <c r="I53" s="616">
        <f>IF(I48&lt;E48,E48/I48-1,I48/E48-1)</f>
        <v>1.8518518518518379E-2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sheetPr codeName="Sheet24">
    <tabColor rgb="FF92D050"/>
    <pageSetUpPr fitToPage="1"/>
  </sheetPr>
  <dimension ref="A1:AC853"/>
  <sheetViews>
    <sheetView view="pageBreakPreview" topLeftCell="B39" zoomScale="80" zoomScaleNormal="60" zoomScaleSheetLayoutView="80" workbookViewId="0">
      <selection activeCell="L5" sqref="L5"/>
    </sheetView>
  </sheetViews>
  <sheetFormatPr defaultColWidth="9" defaultRowHeight="14.25"/>
  <cols>
    <col min="1" max="1" width="10.5" style="1289" customWidth="1"/>
    <col min="2" max="2" width="15.75" style="1289" customWidth="1"/>
    <col min="3" max="3" width="14.375" style="1289" customWidth="1"/>
    <col min="4" max="10" width="7.6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97" t="s">
        <v>514</v>
      </c>
      <c r="D4" s="3598"/>
      <c r="E4" s="3622" t="s">
        <v>515</v>
      </c>
      <c r="F4" s="3623"/>
      <c r="G4" s="3597" t="s">
        <v>516</v>
      </c>
      <c r="H4" s="3598"/>
      <c r="I4" s="3597" t="s">
        <v>517</v>
      </c>
      <c r="J4" s="3598"/>
      <c r="K4" s="506" t="s">
        <v>518</v>
      </c>
      <c r="L4" s="2013"/>
      <c r="M4" s="2014"/>
      <c r="N4" s="2014"/>
      <c r="O4" s="2014"/>
      <c r="P4" s="3699" t="s">
        <v>519</v>
      </c>
      <c r="Q4" s="3600"/>
      <c r="R4" s="3585" t="s">
        <v>515</v>
      </c>
      <c r="S4" s="3586"/>
      <c r="T4" s="3585" t="s">
        <v>516</v>
      </c>
      <c r="U4" s="3586"/>
      <c r="V4" s="3605" t="s">
        <v>517</v>
      </c>
      <c r="W4" s="3605"/>
      <c r="X4" s="1500"/>
      <c r="Y4" s="3585" t="s">
        <v>519</v>
      </c>
      <c r="Z4" s="3586"/>
      <c r="AA4" s="3580" t="s">
        <v>515</v>
      </c>
      <c r="AB4" s="3580" t="s">
        <v>516</v>
      </c>
      <c r="AC4" s="3580" t="s">
        <v>517</v>
      </c>
    </row>
    <row r="5" spans="1:29" ht="15">
      <c r="A5" s="507"/>
      <c r="B5" s="508"/>
      <c r="C5" s="3608" t="s">
        <v>2892</v>
      </c>
      <c r="D5" s="3609"/>
      <c r="E5" s="3624" t="str">
        <f>办公案例截图及地图!A1</f>
        <v>绿地中央广场</v>
      </c>
      <c r="F5" s="3625"/>
      <c r="G5" s="3698" t="s">
        <v>3169</v>
      </c>
      <c r="H5" s="3609"/>
      <c r="I5" s="3698" t="s">
        <v>3170</v>
      </c>
      <c r="J5" s="3609"/>
      <c r="K5" s="506"/>
      <c r="L5" s="2013"/>
      <c r="M5" s="2014"/>
      <c r="N5" s="2014"/>
      <c r="O5" s="2014"/>
      <c r="P5" s="3700"/>
      <c r="Q5" s="3602"/>
      <c r="R5" s="3587"/>
      <c r="S5" s="3588"/>
      <c r="T5" s="3587"/>
      <c r="U5" s="3588"/>
      <c r="V5" s="3605"/>
      <c r="W5" s="3605"/>
      <c r="X5" s="1500"/>
      <c r="Y5" s="3587"/>
      <c r="Z5" s="3588"/>
      <c r="AA5" s="3581"/>
      <c r="AB5" s="3581"/>
      <c r="AC5" s="3581"/>
    </row>
    <row r="6" spans="1:29" ht="15.75" thickBot="1">
      <c r="A6" s="509"/>
      <c r="B6" s="510"/>
      <c r="C6" s="3606" t="s">
        <v>2896</v>
      </c>
      <c r="D6" s="3607"/>
      <c r="E6" s="3626" t="s">
        <v>2896</v>
      </c>
      <c r="F6" s="3627"/>
      <c r="G6" s="3606" t="s">
        <v>2896</v>
      </c>
      <c r="H6" s="3607"/>
      <c r="I6" s="3606" t="s">
        <v>2896</v>
      </c>
      <c r="J6" s="3607"/>
      <c r="K6" s="506" t="s">
        <v>520</v>
      </c>
      <c r="L6" s="2013"/>
      <c r="M6" s="2014"/>
      <c r="N6" s="2014"/>
      <c r="O6" s="2014"/>
      <c r="P6" s="3701"/>
      <c r="Q6" s="3604"/>
      <c r="R6" s="3587"/>
      <c r="S6" s="3588"/>
      <c r="T6" s="3589"/>
      <c r="U6" s="3590"/>
      <c r="V6" s="3605"/>
      <c r="W6" s="3605"/>
      <c r="X6" s="1500"/>
      <c r="Y6" s="3589"/>
      <c r="Z6" s="3590"/>
      <c r="AA6" s="3582"/>
      <c r="AB6" s="3582"/>
      <c r="AC6" s="3582"/>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592" t="s">
        <v>522</v>
      </c>
      <c r="Q7" s="3592"/>
      <c r="R7" s="1501" t="s">
        <v>8</v>
      </c>
      <c r="S7" s="1502">
        <f t="shared" ref="S7:S15" si="0">F7</f>
        <v>100</v>
      </c>
      <c r="T7" s="1501" t="s">
        <v>8</v>
      </c>
      <c r="U7" s="1502">
        <f t="shared" ref="U7:U15" si="1">H7</f>
        <v>100</v>
      </c>
      <c r="V7" s="1501" t="s">
        <v>8</v>
      </c>
      <c r="W7" s="1502">
        <f t="shared" ref="W7:W15" si="2">J7</f>
        <v>100</v>
      </c>
      <c r="X7" s="1503"/>
      <c r="Y7" s="3583" t="s">
        <v>522</v>
      </c>
      <c r="Z7" s="3584"/>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592" t="s">
        <v>525</v>
      </c>
      <c r="Q8" s="3584"/>
      <c r="R8" s="1501" t="s">
        <v>8</v>
      </c>
      <c r="S8" s="1502">
        <f t="shared" si="0"/>
        <v>100</v>
      </c>
      <c r="T8" s="1501" t="s">
        <v>8</v>
      </c>
      <c r="U8" s="1502">
        <f t="shared" si="1"/>
        <v>100</v>
      </c>
      <c r="V8" s="1501" t="s">
        <v>8</v>
      </c>
      <c r="W8" s="1502">
        <f t="shared" si="2"/>
        <v>100</v>
      </c>
      <c r="X8" s="1503"/>
      <c r="Y8" s="3583" t="s">
        <v>525</v>
      </c>
      <c r="Z8" s="3584"/>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91" t="s">
        <v>527</v>
      </c>
      <c r="Q9" s="1132" t="str">
        <f t="shared" ref="Q9:Q15" si="6">B9</f>
        <v>用途</v>
      </c>
      <c r="R9" s="1501" t="s">
        <v>8</v>
      </c>
      <c r="S9" s="1502">
        <f t="shared" si="0"/>
        <v>100</v>
      </c>
      <c r="T9" s="1501" t="s">
        <v>8</v>
      </c>
      <c r="U9" s="1502">
        <f t="shared" si="1"/>
        <v>100</v>
      </c>
      <c r="V9" s="1501" t="s">
        <v>8</v>
      </c>
      <c r="W9" s="1502">
        <f t="shared" si="2"/>
        <v>100</v>
      </c>
      <c r="X9" s="1503"/>
      <c r="Y9" s="3542" t="s">
        <v>528</v>
      </c>
      <c r="Z9" s="1131" t="str">
        <f t="shared" ref="Z9:Z15" si="7">Q9</f>
        <v>用途</v>
      </c>
      <c r="AA9" s="1504">
        <f t="shared" si="3"/>
        <v>1</v>
      </c>
      <c r="AB9" s="1504">
        <f t="shared" si="4"/>
        <v>1</v>
      </c>
      <c r="AC9" s="1504">
        <f t="shared" si="5"/>
        <v>1</v>
      </c>
    </row>
    <row r="10" spans="1:29" s="1290" customFormat="1" ht="27">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91"/>
      <c r="Q10" s="1132" t="str">
        <f t="shared" si="6"/>
        <v>土地使用年限（年）</v>
      </c>
      <c r="R10" s="1501" t="s">
        <v>8</v>
      </c>
      <c r="S10" s="1502">
        <f t="shared" si="0"/>
        <v>100</v>
      </c>
      <c r="T10" s="1501" t="s">
        <v>8</v>
      </c>
      <c r="U10" s="1502">
        <f t="shared" si="1"/>
        <v>100</v>
      </c>
      <c r="V10" s="1501" t="s">
        <v>8</v>
      </c>
      <c r="W10" s="1502">
        <f t="shared" si="2"/>
        <v>100</v>
      </c>
      <c r="X10" s="1503"/>
      <c r="Y10" s="3542"/>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91"/>
      <c r="Q11" s="1132" t="str">
        <f t="shared" si="6"/>
        <v>容积率</v>
      </c>
      <c r="R11" s="1501" t="s">
        <v>8</v>
      </c>
      <c r="S11" s="1502">
        <f t="shared" si="0"/>
        <v>100</v>
      </c>
      <c r="T11" s="1501" t="s">
        <v>8</v>
      </c>
      <c r="U11" s="1502">
        <f t="shared" si="1"/>
        <v>100</v>
      </c>
      <c r="V11" s="1501" t="s">
        <v>8</v>
      </c>
      <c r="W11" s="1502">
        <f t="shared" si="2"/>
        <v>100</v>
      </c>
      <c r="X11" s="1503"/>
      <c r="Y11" s="3542"/>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91"/>
      <c r="Q12" s="1132">
        <f t="shared" si="6"/>
        <v>111</v>
      </c>
      <c r="R12" s="1501" t="s">
        <v>8</v>
      </c>
      <c r="S12" s="1502">
        <f t="shared" si="0"/>
        <v>100</v>
      </c>
      <c r="T12" s="1501" t="s">
        <v>8</v>
      </c>
      <c r="U12" s="1502">
        <f t="shared" si="1"/>
        <v>100</v>
      </c>
      <c r="V12" s="1501" t="s">
        <v>8</v>
      </c>
      <c r="W12" s="1502">
        <f t="shared" si="2"/>
        <v>100</v>
      </c>
      <c r="X12" s="1503"/>
      <c r="Y12" s="3542"/>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91"/>
      <c r="Q13" s="1132">
        <f t="shared" si="6"/>
        <v>111</v>
      </c>
      <c r="R13" s="1501" t="s">
        <v>8</v>
      </c>
      <c r="S13" s="1502">
        <f t="shared" si="0"/>
        <v>100</v>
      </c>
      <c r="T13" s="1501" t="s">
        <v>8</v>
      </c>
      <c r="U13" s="1502">
        <f t="shared" si="1"/>
        <v>100</v>
      </c>
      <c r="V13" s="1501" t="s">
        <v>8</v>
      </c>
      <c r="W13" s="1502">
        <f t="shared" si="2"/>
        <v>100</v>
      </c>
      <c r="X13" s="1503"/>
      <c r="Y13" s="3542"/>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91"/>
      <c r="Q14" s="1132">
        <f t="shared" si="6"/>
        <v>111</v>
      </c>
      <c r="R14" s="1501" t="s">
        <v>8</v>
      </c>
      <c r="S14" s="1502">
        <f t="shared" si="0"/>
        <v>100</v>
      </c>
      <c r="T14" s="1501" t="s">
        <v>8</v>
      </c>
      <c r="U14" s="1502">
        <f t="shared" si="1"/>
        <v>100</v>
      </c>
      <c r="V14" s="1501" t="s">
        <v>8</v>
      </c>
      <c r="W14" s="1502">
        <f t="shared" si="2"/>
        <v>100</v>
      </c>
      <c r="X14" s="1503"/>
      <c r="Y14" s="3542"/>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593" t="s">
        <v>532</v>
      </c>
      <c r="Q15" s="1505" t="str">
        <f t="shared" si="6"/>
        <v>办公集聚程度</v>
      </c>
      <c r="R15" s="1506" t="s">
        <v>8</v>
      </c>
      <c r="S15" s="1507">
        <f t="shared" si="0"/>
        <v>102</v>
      </c>
      <c r="T15" s="1506" t="s">
        <v>8</v>
      </c>
      <c r="U15" s="1507">
        <f t="shared" si="1"/>
        <v>102</v>
      </c>
      <c r="V15" s="1506" t="s">
        <v>8</v>
      </c>
      <c r="W15" s="1507">
        <f t="shared" si="2"/>
        <v>102</v>
      </c>
      <c r="X15" s="1500"/>
      <c r="Y15" s="3593"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594"/>
      <c r="Q16" s="1505"/>
      <c r="R16" s="1506"/>
      <c r="S16" s="1507"/>
      <c r="T16" s="1506"/>
      <c r="U16" s="1507"/>
      <c r="V16" s="1506"/>
      <c r="W16" s="1507"/>
      <c r="X16" s="1500"/>
      <c r="Y16" s="3594"/>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594"/>
      <c r="Q17" s="1505" t="str">
        <f>B17</f>
        <v>交通便捷度</v>
      </c>
      <c r="R17" s="1506" t="s">
        <v>8</v>
      </c>
      <c r="S17" s="1507">
        <f>F17</f>
        <v>100</v>
      </c>
      <c r="T17" s="1506" t="s">
        <v>8</v>
      </c>
      <c r="U17" s="1507">
        <f>H17</f>
        <v>100</v>
      </c>
      <c r="V17" s="1506" t="s">
        <v>8</v>
      </c>
      <c r="W17" s="1507">
        <f>J17</f>
        <v>100</v>
      </c>
      <c r="X17" s="1500"/>
      <c r="Y17" s="3594"/>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594"/>
      <c r="Q18" s="1505"/>
      <c r="R18" s="1506"/>
      <c r="S18" s="1507"/>
      <c r="T18" s="1506"/>
      <c r="U18" s="1507"/>
      <c r="V18" s="1506"/>
      <c r="W18" s="1507"/>
      <c r="X18" s="1500"/>
      <c r="Y18" s="3594"/>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101</v>
      </c>
      <c r="G19" s="562"/>
      <c r="H19" s="551">
        <f>SUMIF(81:81,G20,82:82)-SUMIF(81:81,C20,82:82)+100</f>
        <v>101</v>
      </c>
      <c r="I19" s="562"/>
      <c r="J19" s="551">
        <f>SUMIF(81:81,I20,82:82)-SUMIF(81:81,C20,82:82)+100</f>
        <v>101</v>
      </c>
      <c r="K19" s="885">
        <v>1</v>
      </c>
      <c r="L19" s="2022"/>
      <c r="M19" s="2014"/>
      <c r="N19" s="2014"/>
      <c r="O19" s="2014"/>
      <c r="P19" s="3594"/>
      <c r="Q19" s="1505" t="str">
        <f>B19</f>
        <v>公共配套设施</v>
      </c>
      <c r="R19" s="1506" t="s">
        <v>8</v>
      </c>
      <c r="S19" s="1507">
        <f>F19</f>
        <v>101</v>
      </c>
      <c r="T19" s="1506" t="s">
        <v>8</v>
      </c>
      <c r="U19" s="1507">
        <f>H19</f>
        <v>101</v>
      </c>
      <c r="V19" s="1506" t="s">
        <v>8</v>
      </c>
      <c r="W19" s="1507">
        <f>J19</f>
        <v>101</v>
      </c>
      <c r="X19" s="1500"/>
      <c r="Y19" s="3594"/>
      <c r="Z19" s="1508" t="str">
        <f>Q19</f>
        <v>公共配套设施</v>
      </c>
      <c r="AA19" s="1509">
        <f t="shared" si="3"/>
        <v>0.99009900990099009</v>
      </c>
      <c r="AB19" s="1509">
        <f t="shared" si="4"/>
        <v>0.99009900990099009</v>
      </c>
      <c r="AC19" s="1509">
        <f t="shared" si="5"/>
        <v>0.99009900990099009</v>
      </c>
    </row>
    <row r="20" spans="1:29" ht="15">
      <c r="A20" s="524"/>
      <c r="B20" s="558"/>
      <c r="C20" s="546" t="s">
        <v>3074</v>
      </c>
      <c r="D20" s="547"/>
      <c r="E20" s="550" t="s">
        <v>3075</v>
      </c>
      <c r="F20" s="547"/>
      <c r="G20" s="548" t="s">
        <v>3075</v>
      </c>
      <c r="H20" s="547"/>
      <c r="I20" s="548" t="s">
        <v>3075</v>
      </c>
      <c r="J20" s="547"/>
      <c r="K20" s="886"/>
      <c r="L20" s="2022"/>
      <c r="M20" s="2014"/>
      <c r="N20" s="2014"/>
      <c r="O20" s="2014"/>
      <c r="P20" s="3594"/>
      <c r="Q20" s="1505"/>
      <c r="R20" s="1506"/>
      <c r="S20" s="1507"/>
      <c r="T20" s="1506"/>
      <c r="U20" s="1507"/>
      <c r="V20" s="1506"/>
      <c r="W20" s="1507"/>
      <c r="X20" s="1500"/>
      <c r="Y20" s="3594"/>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594"/>
      <c r="Q21" s="2427" t="str">
        <f>B21</f>
        <v>基础设施水平</v>
      </c>
      <c r="R21" s="1506" t="s">
        <v>8</v>
      </c>
      <c r="S21" s="1507">
        <f>F21</f>
        <v>100</v>
      </c>
      <c r="T21" s="1506" t="s">
        <v>8</v>
      </c>
      <c r="U21" s="1507">
        <f>H21</f>
        <v>100</v>
      </c>
      <c r="V21" s="1506" t="s">
        <v>8</v>
      </c>
      <c r="W21" s="1507">
        <f>J21</f>
        <v>100</v>
      </c>
      <c r="X21" s="2429"/>
      <c r="Y21" s="3594"/>
      <c r="Z21" s="2428" t="str">
        <f>Q21</f>
        <v>基础设施水平</v>
      </c>
      <c r="AA21" s="1509">
        <f t="shared" ref="AA21" si="8">D21/F21</f>
        <v>1</v>
      </c>
      <c r="AB21" s="1509">
        <f t="shared" ref="AB21" si="9">D21/H21</f>
        <v>1</v>
      </c>
      <c r="AC21" s="1509">
        <f t="shared" ref="AC21" si="10">D21/J21</f>
        <v>1</v>
      </c>
    </row>
    <row r="22" spans="1:29" ht="15">
      <c r="A22" s="524"/>
      <c r="B22" s="570"/>
      <c r="C22" s="559" t="s">
        <v>3173</v>
      </c>
      <c r="D22" s="547"/>
      <c r="E22" s="568" t="s">
        <v>3173</v>
      </c>
      <c r="F22" s="547"/>
      <c r="G22" s="546" t="s">
        <v>3173</v>
      </c>
      <c r="H22" s="547"/>
      <c r="I22" s="546" t="s">
        <v>3173</v>
      </c>
      <c r="J22" s="547"/>
      <c r="K22" s="2444"/>
      <c r="L22" s="2022"/>
      <c r="M22" s="2014"/>
      <c r="N22" s="2014"/>
      <c r="O22" s="2014"/>
      <c r="P22" s="3594"/>
      <c r="Q22" s="2427"/>
      <c r="R22" s="1506"/>
      <c r="S22" s="1507"/>
      <c r="T22" s="1506"/>
      <c r="U22" s="1507"/>
      <c r="V22" s="1506"/>
      <c r="W22" s="1507"/>
      <c r="X22" s="2429"/>
      <c r="Y22" s="3594"/>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594"/>
      <c r="Q23" s="1505" t="str">
        <f>B23</f>
        <v>环境质量</v>
      </c>
      <c r="R23" s="1506" t="s">
        <v>8</v>
      </c>
      <c r="S23" s="1507">
        <f>F23</f>
        <v>98</v>
      </c>
      <c r="T23" s="1506" t="s">
        <v>8</v>
      </c>
      <c r="U23" s="1507">
        <f>H23</f>
        <v>98</v>
      </c>
      <c r="V23" s="1506" t="s">
        <v>8</v>
      </c>
      <c r="W23" s="1507">
        <f>J23</f>
        <v>98</v>
      </c>
      <c r="X23" s="1500"/>
      <c r="Y23" s="3594"/>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594"/>
      <c r="Q24" s="1505"/>
      <c r="R24" s="1506"/>
      <c r="S24" s="1507"/>
      <c r="T24" s="1506"/>
      <c r="U24" s="1507"/>
      <c r="V24" s="1506"/>
      <c r="W24" s="1507"/>
      <c r="X24" s="1500"/>
      <c r="Y24" s="3594"/>
      <c r="Z24" s="1508"/>
      <c r="AA24" s="1509">
        <v>1</v>
      </c>
      <c r="AB24" s="1509">
        <v>1</v>
      </c>
      <c r="AC24" s="1509">
        <v>1</v>
      </c>
    </row>
    <row r="25" spans="1:29" ht="27">
      <c r="A25" s="507"/>
      <c r="B25" s="552" t="s">
        <v>540</v>
      </c>
      <c r="C25" s="899"/>
      <c r="D25" s="532">
        <v>100</v>
      </c>
      <c r="E25" s="531"/>
      <c r="F25" s="532">
        <f>SUMIF(87:87,E26,88:88)-SUMIF(87:87,C26,88:88)+100</f>
        <v>95</v>
      </c>
      <c r="G25" s="899"/>
      <c r="H25" s="532">
        <f>SUMIF(87:87,G26,88:88)-SUMIF(87:87,C26,88:88)+100</f>
        <v>95</v>
      </c>
      <c r="I25" s="531"/>
      <c r="J25" s="532">
        <f>SUMIF(87:87,I26,88:88)-SUMIF(87:87,C26,88:88)+100</f>
        <v>95</v>
      </c>
      <c r="K25" s="885">
        <v>2.5</v>
      </c>
      <c r="L25" s="2022"/>
      <c r="M25" s="2014"/>
      <c r="N25" s="2014"/>
      <c r="O25" s="2014"/>
      <c r="P25" s="3594"/>
      <c r="Q25" s="1505" t="str">
        <f>B25</f>
        <v>毗邻道路的类型与等级</v>
      </c>
      <c r="R25" s="1506" t="s">
        <v>8</v>
      </c>
      <c r="S25" s="1507">
        <f>F25</f>
        <v>95</v>
      </c>
      <c r="T25" s="1506" t="s">
        <v>8</v>
      </c>
      <c r="U25" s="1507">
        <f>H25</f>
        <v>95</v>
      </c>
      <c r="V25" s="1506" t="s">
        <v>8</v>
      </c>
      <c r="W25" s="1507">
        <f>J25</f>
        <v>95</v>
      </c>
      <c r="X25" s="1500"/>
      <c r="Y25" s="3594"/>
      <c r="Z25" s="1508" t="str">
        <f>Q25</f>
        <v>毗邻道路的类型与等级</v>
      </c>
      <c r="AA25" s="1509">
        <f t="shared" si="3"/>
        <v>1.0526315789473684</v>
      </c>
      <c r="AB25" s="1509">
        <f t="shared" si="4"/>
        <v>1.0526315789473684</v>
      </c>
      <c r="AC25" s="1509">
        <f t="shared" si="5"/>
        <v>1.0526315789473684</v>
      </c>
    </row>
    <row r="26" spans="1:29" ht="15">
      <c r="A26" s="507"/>
      <c r="B26" s="558"/>
      <c r="C26" s="572" t="s">
        <v>3174</v>
      </c>
      <c r="D26" s="532"/>
      <c r="E26" s="575" t="s">
        <v>3086</v>
      </c>
      <c r="F26" s="532"/>
      <c r="G26" s="572" t="s">
        <v>3086</v>
      </c>
      <c r="H26" s="532"/>
      <c r="I26" s="575" t="s">
        <v>3086</v>
      </c>
      <c r="J26" s="532"/>
      <c r="K26" s="886"/>
      <c r="L26" s="2022"/>
      <c r="M26" s="2014"/>
      <c r="N26" s="2014"/>
      <c r="O26" s="2014"/>
      <c r="P26" s="3594"/>
      <c r="Q26" s="1505"/>
      <c r="R26" s="1506"/>
      <c r="S26" s="1507"/>
      <c r="T26" s="1506"/>
      <c r="U26" s="1507"/>
      <c r="V26" s="1506"/>
      <c r="W26" s="1507"/>
      <c r="X26" s="1500"/>
      <c r="Y26" s="3594"/>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594"/>
      <c r="Q27" s="1505" t="str">
        <f t="shared" ref="Q27:Q47" si="11">B27</f>
        <v>楼层</v>
      </c>
      <c r="R27" s="1506" t="s">
        <v>8</v>
      </c>
      <c r="S27" s="1507">
        <f>F27</f>
        <v>100</v>
      </c>
      <c r="T27" s="1506" t="s">
        <v>8</v>
      </c>
      <c r="U27" s="1507">
        <f>H27</f>
        <v>100</v>
      </c>
      <c r="V27" s="1506" t="s">
        <v>8</v>
      </c>
      <c r="W27" s="1507">
        <f>J27</f>
        <v>100</v>
      </c>
      <c r="X27" s="1500"/>
      <c r="Y27" s="3594"/>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594"/>
      <c r="Q28" s="1132" t="str">
        <f t="shared" si="11"/>
        <v>朝向</v>
      </c>
      <c r="R28" s="1501" t="s">
        <v>8</v>
      </c>
      <c r="S28" s="1502">
        <f>F28</f>
        <v>100</v>
      </c>
      <c r="T28" s="1501" t="s">
        <v>8</v>
      </c>
      <c r="U28" s="1502">
        <f>H28</f>
        <v>100</v>
      </c>
      <c r="V28" s="1501" t="s">
        <v>8</v>
      </c>
      <c r="W28" s="1502">
        <f>J28</f>
        <v>100</v>
      </c>
      <c r="X28" s="1503"/>
      <c r="Y28" s="3594"/>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594"/>
      <c r="Q29" s="1505">
        <f t="shared" si="11"/>
        <v>111</v>
      </c>
      <c r="R29" s="1506" t="s">
        <v>8</v>
      </c>
      <c r="S29" s="1507">
        <f t="shared" ref="S29:S47" si="12">F29</f>
        <v>100</v>
      </c>
      <c r="T29" s="1506" t="s">
        <v>8</v>
      </c>
      <c r="U29" s="1507">
        <f t="shared" ref="U29:U47" si="13">H29</f>
        <v>100</v>
      </c>
      <c r="V29" s="1506" t="s">
        <v>8</v>
      </c>
      <c r="W29" s="1507">
        <f t="shared" ref="W29:W47" si="14">J29</f>
        <v>100</v>
      </c>
      <c r="X29" s="1500"/>
      <c r="Y29" s="3594"/>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594"/>
      <c r="Q30" s="1505">
        <f t="shared" si="11"/>
        <v>111</v>
      </c>
      <c r="R30" s="1506" t="s">
        <v>8</v>
      </c>
      <c r="S30" s="1507">
        <f t="shared" si="12"/>
        <v>100</v>
      </c>
      <c r="T30" s="1506" t="s">
        <v>8</v>
      </c>
      <c r="U30" s="1507">
        <f t="shared" si="13"/>
        <v>100</v>
      </c>
      <c r="V30" s="1506" t="s">
        <v>8</v>
      </c>
      <c r="W30" s="1507">
        <f t="shared" si="14"/>
        <v>100</v>
      </c>
      <c r="X30" s="1500"/>
      <c r="Y30" s="3594"/>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594"/>
      <c r="Q31" s="1505">
        <f t="shared" si="11"/>
        <v>111</v>
      </c>
      <c r="R31" s="1506" t="s">
        <v>8</v>
      </c>
      <c r="S31" s="1507">
        <f t="shared" si="12"/>
        <v>100</v>
      </c>
      <c r="T31" s="1506" t="s">
        <v>8</v>
      </c>
      <c r="U31" s="1507">
        <f t="shared" si="13"/>
        <v>100</v>
      </c>
      <c r="V31" s="1506" t="s">
        <v>8</v>
      </c>
      <c r="W31" s="1507">
        <f t="shared" si="14"/>
        <v>100</v>
      </c>
      <c r="X31" s="1500"/>
      <c r="Y31" s="3594"/>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594"/>
      <c r="Q32" s="1505">
        <f t="shared" si="11"/>
        <v>111</v>
      </c>
      <c r="R32" s="1506" t="s">
        <v>8</v>
      </c>
      <c r="S32" s="1507">
        <f t="shared" si="12"/>
        <v>100</v>
      </c>
      <c r="T32" s="1506" t="s">
        <v>8</v>
      </c>
      <c r="U32" s="1507">
        <f t="shared" si="13"/>
        <v>100</v>
      </c>
      <c r="V32" s="1506" t="s">
        <v>8</v>
      </c>
      <c r="W32" s="1507">
        <f t="shared" si="14"/>
        <v>100</v>
      </c>
      <c r="X32" s="1500"/>
      <c r="Y32" s="3594"/>
      <c r="Z32" s="1508">
        <f t="shared" si="15"/>
        <v>111</v>
      </c>
      <c r="AA32" s="1509">
        <f t="shared" si="3"/>
        <v>1</v>
      </c>
      <c r="AB32" s="1509">
        <f t="shared" si="4"/>
        <v>1</v>
      </c>
      <c r="AC32" s="1509">
        <f t="shared" si="5"/>
        <v>1</v>
      </c>
    </row>
    <row r="33" spans="1:29" ht="15">
      <c r="A33" s="2622" t="s">
        <v>2733</v>
      </c>
      <c r="B33" s="169" t="s">
        <v>772</v>
      </c>
      <c r="C33" s="903" t="s">
        <v>3175</v>
      </c>
      <c r="D33" s="589">
        <v>100</v>
      </c>
      <c r="E33" s="903" t="s">
        <v>3147</v>
      </c>
      <c r="F33" s="567">
        <f>SUMIF(101:101,E33,102:102)-SUMIF(101:101,C33,102:102)+100</f>
        <v>102</v>
      </c>
      <c r="G33" s="903" t="s">
        <v>3147</v>
      </c>
      <c r="H33" s="532">
        <f>SUMIF(101:101,G33,102:102)-SUMIF(101:101,C33,102:102)+100</f>
        <v>102</v>
      </c>
      <c r="I33" s="903" t="s">
        <v>3147</v>
      </c>
      <c r="J33" s="589">
        <f>SUMIF(101:101,I33,102:102)-SUMIF(101:101,C33,102:102)+100</f>
        <v>102</v>
      </c>
      <c r="K33" s="576">
        <v>2</v>
      </c>
      <c r="L33" s="2022"/>
      <c r="M33" s="2014"/>
      <c r="N33" s="2014"/>
      <c r="O33" s="2014"/>
      <c r="P33" s="3595" t="s">
        <v>542</v>
      </c>
      <c r="Q33" s="1505" t="str">
        <f t="shared" si="11"/>
        <v>建筑类型</v>
      </c>
      <c r="R33" s="1506" t="s">
        <v>8</v>
      </c>
      <c r="S33" s="1507">
        <f t="shared" si="12"/>
        <v>102</v>
      </c>
      <c r="T33" s="1506" t="s">
        <v>8</v>
      </c>
      <c r="U33" s="1507">
        <f t="shared" si="13"/>
        <v>102</v>
      </c>
      <c r="V33" s="1506" t="s">
        <v>8</v>
      </c>
      <c r="W33" s="1507">
        <f t="shared" si="14"/>
        <v>102</v>
      </c>
      <c r="X33" s="1500"/>
      <c r="Y33" s="3596" t="s">
        <v>542</v>
      </c>
      <c r="Z33" s="1508" t="str">
        <f t="shared" si="15"/>
        <v>建筑类型</v>
      </c>
      <c r="AA33" s="1509">
        <f t="shared" si="3"/>
        <v>0.98039215686274506</v>
      </c>
      <c r="AB33" s="1509">
        <f t="shared" si="4"/>
        <v>0.98039215686274506</v>
      </c>
      <c r="AC33" s="1509">
        <f t="shared" si="5"/>
        <v>0.98039215686274506</v>
      </c>
    </row>
    <row r="34" spans="1:29" s="1291" customFormat="1" ht="15">
      <c r="A34" s="595"/>
      <c r="B34" s="519" t="s">
        <v>718</v>
      </c>
      <c r="C34" s="867">
        <f>'不动产比较法-商业'!C33</f>
        <v>15401.814</v>
      </c>
      <c r="D34" s="251">
        <v>100</v>
      </c>
      <c r="E34" s="526">
        <v>170</v>
      </c>
      <c r="F34" s="850">
        <f>LOOKUP(E34,104:104,105:105)-LOOKUP(C34,104:104,105:105)+100</f>
        <v>104</v>
      </c>
      <c r="G34" s="525">
        <v>1050</v>
      </c>
      <c r="H34" s="251">
        <f>LOOKUP(G34,104:104,105:105)-LOOKUP(C34,104:104,105:105)+100</f>
        <v>103</v>
      </c>
      <c r="I34" s="525">
        <v>68</v>
      </c>
      <c r="J34" s="251">
        <f>LOOKUP(I34,104:104,105:105)-LOOKUP(C34,104:104,105:105)+100</f>
        <v>104</v>
      </c>
      <c r="K34" s="573"/>
      <c r="L34" s="2020"/>
      <c r="M34" s="2050"/>
      <c r="N34" s="2050"/>
      <c r="O34" s="2050"/>
      <c r="P34" s="3596"/>
      <c r="Q34" s="1534" t="str">
        <f t="shared" si="11"/>
        <v>项目建筑规模</v>
      </c>
      <c r="R34" s="1510" t="s">
        <v>8</v>
      </c>
      <c r="S34" s="1511">
        <f t="shared" si="12"/>
        <v>104</v>
      </c>
      <c r="T34" s="1510" t="s">
        <v>8</v>
      </c>
      <c r="U34" s="1511">
        <f t="shared" si="13"/>
        <v>103</v>
      </c>
      <c r="V34" s="1510" t="s">
        <v>8</v>
      </c>
      <c r="W34" s="1511">
        <f t="shared" si="14"/>
        <v>104</v>
      </c>
      <c r="X34" s="1512"/>
      <c r="Y34" s="3596"/>
      <c r="Z34" s="1513" t="str">
        <f t="shared" si="15"/>
        <v>项目建筑规模</v>
      </c>
      <c r="AA34" s="1509">
        <f t="shared" si="3"/>
        <v>0.96153846153846156</v>
      </c>
      <c r="AB34" s="1509">
        <f t="shared" si="4"/>
        <v>0.970873786407767</v>
      </c>
      <c r="AC34" s="1509">
        <f t="shared" si="5"/>
        <v>0.96153846153846156</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596"/>
      <c r="Q35" s="1505" t="str">
        <f t="shared" si="11"/>
        <v>建筑结构</v>
      </c>
      <c r="R35" s="1506" t="s">
        <v>8</v>
      </c>
      <c r="S35" s="1507">
        <f t="shared" si="12"/>
        <v>100</v>
      </c>
      <c r="T35" s="1506" t="s">
        <v>8</v>
      </c>
      <c r="U35" s="1507">
        <f t="shared" si="13"/>
        <v>100</v>
      </c>
      <c r="V35" s="1506" t="s">
        <v>8</v>
      </c>
      <c r="W35" s="1507">
        <f t="shared" si="14"/>
        <v>100</v>
      </c>
      <c r="X35" s="1500"/>
      <c r="Y35" s="3596"/>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596"/>
      <c r="Q36" s="1505" t="str">
        <f t="shared" si="11"/>
        <v>公共部分装修</v>
      </c>
      <c r="R36" s="1506" t="s">
        <v>8</v>
      </c>
      <c r="S36" s="1507">
        <f t="shared" si="12"/>
        <v>100</v>
      </c>
      <c r="T36" s="1506" t="s">
        <v>8</v>
      </c>
      <c r="U36" s="1507">
        <f t="shared" si="13"/>
        <v>100</v>
      </c>
      <c r="V36" s="1506" t="s">
        <v>8</v>
      </c>
      <c r="W36" s="1507">
        <f t="shared" si="14"/>
        <v>100</v>
      </c>
      <c r="X36" s="1500"/>
      <c r="Y36" s="3596"/>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94</v>
      </c>
      <c r="G37" s="870">
        <v>0.85</v>
      </c>
      <c r="H37" s="567">
        <f>LOOKUP(G37,111:111,112:112)-LOOKUP(C37,111:111,112:112)+100</f>
        <v>94</v>
      </c>
      <c r="I37" s="870">
        <v>0.85</v>
      </c>
      <c r="J37" s="532">
        <f>LOOKUP(I37,111:111,112:112)-LOOKUP(C37,111:111,112:112)+100</f>
        <v>94</v>
      </c>
      <c r="K37" s="576">
        <v>6</v>
      </c>
      <c r="L37" s="2022"/>
      <c r="M37" s="2014"/>
      <c r="N37" s="2014"/>
      <c r="O37" s="2014"/>
      <c r="P37" s="3596"/>
      <c r="Q37" s="1505" t="str">
        <f t="shared" si="11"/>
        <v>成新度</v>
      </c>
      <c r="R37" s="1506" t="s">
        <v>8</v>
      </c>
      <c r="S37" s="1507">
        <f t="shared" si="12"/>
        <v>94</v>
      </c>
      <c r="T37" s="1506" t="s">
        <v>8</v>
      </c>
      <c r="U37" s="1507">
        <f t="shared" si="13"/>
        <v>94</v>
      </c>
      <c r="V37" s="1506" t="s">
        <v>8</v>
      </c>
      <c r="W37" s="1507">
        <f t="shared" si="14"/>
        <v>94</v>
      </c>
      <c r="X37" s="1500"/>
      <c r="Y37" s="3596"/>
      <c r="Z37" s="1508" t="str">
        <f t="shared" si="15"/>
        <v>成新度</v>
      </c>
      <c r="AA37" s="1509">
        <f t="shared" si="3"/>
        <v>1.0638297872340425</v>
      </c>
      <c r="AB37" s="1509">
        <f t="shared" si="4"/>
        <v>1.0638297872340425</v>
      </c>
      <c r="AC37" s="1509">
        <f t="shared" si="5"/>
        <v>1.0638297872340425</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596"/>
      <c r="Q38" s="1132" t="str">
        <f t="shared" si="11"/>
        <v>写字楼等级</v>
      </c>
      <c r="R38" s="1501" t="s">
        <v>8</v>
      </c>
      <c r="S38" s="1502">
        <f t="shared" si="12"/>
        <v>100</v>
      </c>
      <c r="T38" s="1501" t="s">
        <v>8</v>
      </c>
      <c r="U38" s="1502">
        <f t="shared" si="13"/>
        <v>100</v>
      </c>
      <c r="V38" s="1501" t="s">
        <v>8</v>
      </c>
      <c r="W38" s="1502">
        <f t="shared" si="14"/>
        <v>100</v>
      </c>
      <c r="X38" s="1503"/>
      <c r="Y38" s="3596"/>
      <c r="Z38" s="1131" t="str">
        <f t="shared" si="15"/>
        <v>写字楼等级</v>
      </c>
      <c r="AA38" s="1504">
        <f t="shared" si="3"/>
        <v>1</v>
      </c>
      <c r="AB38" s="1504">
        <f t="shared" si="4"/>
        <v>1</v>
      </c>
      <c r="AC38" s="1504">
        <f t="shared" si="5"/>
        <v>1</v>
      </c>
    </row>
    <row r="39" spans="1:29" ht="1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596" t="s">
        <v>542</v>
      </c>
      <c r="Q39" s="1505" t="str">
        <f t="shared" si="11"/>
        <v>物业管理</v>
      </c>
      <c r="R39" s="1506" t="s">
        <v>8</v>
      </c>
      <c r="S39" s="1507">
        <f t="shared" si="12"/>
        <v>100</v>
      </c>
      <c r="T39" s="1506" t="s">
        <v>8</v>
      </c>
      <c r="U39" s="1507">
        <f t="shared" si="13"/>
        <v>100</v>
      </c>
      <c r="V39" s="1506" t="s">
        <v>8</v>
      </c>
      <c r="W39" s="1507">
        <f t="shared" si="14"/>
        <v>100</v>
      </c>
      <c r="X39" s="1500"/>
      <c r="Y39" s="3596"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596"/>
      <c r="Q40" s="1505" t="str">
        <f t="shared" si="11"/>
        <v>市政基础设施</v>
      </c>
      <c r="R40" s="1506" t="s">
        <v>8</v>
      </c>
      <c r="S40" s="1507">
        <f t="shared" si="12"/>
        <v>100</v>
      </c>
      <c r="T40" s="1506" t="s">
        <v>8</v>
      </c>
      <c r="U40" s="1507">
        <f t="shared" si="13"/>
        <v>100</v>
      </c>
      <c r="V40" s="1506" t="s">
        <v>8</v>
      </c>
      <c r="W40" s="1507">
        <f t="shared" si="14"/>
        <v>100</v>
      </c>
      <c r="X40" s="1500"/>
      <c r="Y40" s="3596"/>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596"/>
      <c r="Q41" s="1505" t="str">
        <f t="shared" si="11"/>
        <v>层高</v>
      </c>
      <c r="R41" s="1506" t="s">
        <v>8</v>
      </c>
      <c r="S41" s="1507">
        <f t="shared" si="12"/>
        <v>100</v>
      </c>
      <c r="T41" s="1506" t="s">
        <v>8</v>
      </c>
      <c r="U41" s="1507">
        <f t="shared" si="13"/>
        <v>100</v>
      </c>
      <c r="V41" s="1506" t="s">
        <v>8</v>
      </c>
      <c r="W41" s="1507">
        <f t="shared" si="14"/>
        <v>100</v>
      </c>
      <c r="X41" s="1500"/>
      <c r="Y41" s="3596"/>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596"/>
      <c r="Q42" s="1534" t="str">
        <f t="shared" si="11"/>
        <v>单套建筑面积</v>
      </c>
      <c r="R42" s="1510" t="s">
        <v>8</v>
      </c>
      <c r="S42" s="1511">
        <f t="shared" si="12"/>
        <v>100</v>
      </c>
      <c r="T42" s="1510" t="s">
        <v>8</v>
      </c>
      <c r="U42" s="1511">
        <f t="shared" si="13"/>
        <v>100</v>
      </c>
      <c r="V42" s="1510" t="s">
        <v>8</v>
      </c>
      <c r="W42" s="1511">
        <f t="shared" si="14"/>
        <v>100</v>
      </c>
      <c r="X42" s="1512"/>
      <c r="Y42" s="3596"/>
      <c r="Z42" s="1513" t="str">
        <f t="shared" si="15"/>
        <v>单套建筑面积</v>
      </c>
      <c r="AA42" s="1509">
        <f t="shared" si="3"/>
        <v>1</v>
      </c>
      <c r="AB42" s="1509">
        <f t="shared" si="4"/>
        <v>1</v>
      </c>
      <c r="AC42" s="1509">
        <f t="shared" si="5"/>
        <v>1</v>
      </c>
    </row>
    <row r="43" spans="1:29" ht="15.7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596"/>
      <c r="Q43" s="1505" t="str">
        <f t="shared" si="11"/>
        <v>内部装修</v>
      </c>
      <c r="R43" s="1506" t="s">
        <v>8</v>
      </c>
      <c r="S43" s="1507">
        <f t="shared" si="12"/>
        <v>102</v>
      </c>
      <c r="T43" s="1506" t="s">
        <v>8</v>
      </c>
      <c r="U43" s="1507">
        <f t="shared" si="13"/>
        <v>102</v>
      </c>
      <c r="V43" s="1506" t="s">
        <v>8</v>
      </c>
      <c r="W43" s="1507">
        <f t="shared" si="14"/>
        <v>100</v>
      </c>
      <c r="X43" s="1500"/>
      <c r="Y43" s="3596"/>
      <c r="Z43" s="1508" t="str">
        <f t="shared" si="15"/>
        <v>内部装修</v>
      </c>
      <c r="AA43" s="1509">
        <f t="shared" si="3"/>
        <v>0.98039215686274506</v>
      </c>
      <c r="AB43" s="1509">
        <f t="shared" si="4"/>
        <v>0.98039215686274506</v>
      </c>
      <c r="AC43" s="1509">
        <f t="shared" si="5"/>
        <v>1</v>
      </c>
    </row>
    <row r="44" spans="1:29" ht="27"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596"/>
      <c r="Q44" s="1505" t="str">
        <f t="shared" si="11"/>
        <v>内部装修维护情况</v>
      </c>
      <c r="R44" s="1506" t="s">
        <v>8</v>
      </c>
      <c r="S44" s="1507">
        <f t="shared" si="12"/>
        <v>100</v>
      </c>
      <c r="T44" s="1506" t="s">
        <v>8</v>
      </c>
      <c r="U44" s="1507">
        <f t="shared" si="13"/>
        <v>100</v>
      </c>
      <c r="V44" s="1506" t="s">
        <v>8</v>
      </c>
      <c r="W44" s="1507">
        <f t="shared" si="14"/>
        <v>100</v>
      </c>
      <c r="X44" s="1500"/>
      <c r="Y44" s="3596"/>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596"/>
      <c r="Q45" s="1132">
        <f t="shared" si="11"/>
        <v>111</v>
      </c>
      <c r="R45" s="1501" t="s">
        <v>8</v>
      </c>
      <c r="S45" s="1502">
        <f t="shared" si="12"/>
        <v>100</v>
      </c>
      <c r="T45" s="1501" t="s">
        <v>8</v>
      </c>
      <c r="U45" s="1502">
        <f t="shared" si="13"/>
        <v>100</v>
      </c>
      <c r="V45" s="1501" t="s">
        <v>8</v>
      </c>
      <c r="W45" s="1502">
        <f t="shared" si="14"/>
        <v>100</v>
      </c>
      <c r="X45" s="1503"/>
      <c r="Y45" s="3596"/>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596"/>
      <c r="Q46" s="1505">
        <f t="shared" si="11"/>
        <v>111</v>
      </c>
      <c r="R46" s="1506" t="s">
        <v>8</v>
      </c>
      <c r="S46" s="1507">
        <f t="shared" si="12"/>
        <v>100</v>
      </c>
      <c r="T46" s="1506" t="s">
        <v>8</v>
      </c>
      <c r="U46" s="1507">
        <f t="shared" si="13"/>
        <v>100</v>
      </c>
      <c r="V46" s="1506" t="s">
        <v>8</v>
      </c>
      <c r="W46" s="1507">
        <f t="shared" si="14"/>
        <v>100</v>
      </c>
      <c r="X46" s="1500"/>
      <c r="Y46" s="3596"/>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7"/>
      <c r="Q47" s="1505">
        <f t="shared" si="11"/>
        <v>111</v>
      </c>
      <c r="R47" s="1506" t="s">
        <v>8</v>
      </c>
      <c r="S47" s="1507">
        <f t="shared" si="12"/>
        <v>100</v>
      </c>
      <c r="T47" s="1506" t="s">
        <v>8</v>
      </c>
      <c r="U47" s="1507">
        <f t="shared" si="13"/>
        <v>100</v>
      </c>
      <c r="V47" s="1506" t="s">
        <v>8</v>
      </c>
      <c r="W47" s="1507">
        <f t="shared" si="14"/>
        <v>100</v>
      </c>
      <c r="X47" s="1500"/>
      <c r="Y47" s="3697"/>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613" t="str">
        <f>A48</f>
        <v>成交单价（元/平方米）</v>
      </c>
      <c r="Q48" s="3591"/>
      <c r="R48" s="3696">
        <f>E48</f>
        <v>3.3</v>
      </c>
      <c r="S48" s="3696"/>
      <c r="T48" s="3696">
        <f>G48</f>
        <v>3.5</v>
      </c>
      <c r="U48" s="3696"/>
      <c r="V48" s="3696">
        <f>I48</f>
        <v>3.8</v>
      </c>
      <c r="W48" s="3696"/>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613" t="str">
        <f>A49</f>
        <v>比较价格（元/平方米）</v>
      </c>
      <c r="Q49" s="3591"/>
      <c r="R49" s="3696">
        <f>IF(F1="售价",ROUND(PRODUCT(R48,AA7:AA47),0),ROUND(PRODUCT(R48,AA7:AA47),1))</f>
        <v>3.4</v>
      </c>
      <c r="S49" s="3696"/>
      <c r="T49" s="3696">
        <f>IF(F1="售价",ROUND(PRODUCT(T48,AB7:AB47),0),ROUND(PRODUCT(T48,AB7:AB47),1))</f>
        <v>3.6</v>
      </c>
      <c r="U49" s="3696"/>
      <c r="V49" s="3696">
        <f>IF(F1="售价",ROUND(PRODUCT(V48,AC7:AC47),0),ROUND(PRODUCT(V48,AC7:AC47),1))</f>
        <v>4</v>
      </c>
      <c r="W49" s="3696"/>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702" t="str">
        <f>A50</f>
        <v>估价对象XX用房的比较价格（楼面单价，元/平方米）</v>
      </c>
      <c r="Q50" s="3613"/>
      <c r="R50" s="3695">
        <f>IF(F1="售价",ROUND(IF(D49="简单平均",AVERAGE(R49:V49),R49*F49+T49*H49+V49*J49),0),ROUND(IF(D49="简单平均",AVERAGE(R49:V49),R49*F49+T49*H49+V49*J49),1))</f>
        <v>3.7</v>
      </c>
      <c r="S50" s="3695"/>
      <c r="T50" s="3695"/>
      <c r="U50" s="3695"/>
      <c r="V50" s="3695"/>
      <c r="W50" s="3695"/>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99</v>
      </c>
      <c r="E82" s="669">
        <f>D82-$K19</f>
        <v>98</v>
      </c>
      <c r="F82" s="669">
        <f>E82-$K19</f>
        <v>97</v>
      </c>
      <c r="G82" s="669">
        <f>F82-$K19</f>
        <v>96</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97.5</v>
      </c>
      <c r="E88" s="669">
        <f t="shared" si="19"/>
        <v>95</v>
      </c>
      <c r="F88" s="669">
        <f t="shared" si="19"/>
        <v>92.5</v>
      </c>
      <c r="G88" s="669">
        <f t="shared" si="19"/>
        <v>90</v>
      </c>
      <c r="H88" s="669">
        <f t="shared" si="19"/>
        <v>87.5</v>
      </c>
      <c r="I88" s="669">
        <f t="shared" si="19"/>
        <v>85</v>
      </c>
      <c r="J88" s="669">
        <f t="shared" si="19"/>
        <v>82.5</v>
      </c>
      <c r="K88" s="669">
        <f t="shared" si="19"/>
        <v>80</v>
      </c>
      <c r="L88" s="669">
        <f t="shared" si="19"/>
        <v>77.5</v>
      </c>
      <c r="M88" s="669">
        <f t="shared" si="19"/>
        <v>75</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9" t="s">
        <v>3148</v>
      </c>
      <c r="D101" s="3349" t="s">
        <v>3176</v>
      </c>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0(含)-1000</v>
      </c>
      <c r="D103" s="698" t="str">
        <f t="shared" ref="D103:L103" si="23">D104&amp;"(含)"&amp;"-"&amp;E104</f>
        <v>1000(含)-2000</v>
      </c>
      <c r="E103" s="698" t="str">
        <f t="shared" si="23"/>
        <v>2000(含)-5000</v>
      </c>
      <c r="F103" s="698" t="str">
        <f t="shared" si="23"/>
        <v>5000(含)-10000</v>
      </c>
      <c r="G103" s="698" t="str">
        <f t="shared" si="23"/>
        <v>10000(含)-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1000</v>
      </c>
      <c r="E104" s="720">
        <v>2000</v>
      </c>
      <c r="F104" s="720">
        <v>5000</v>
      </c>
      <c r="G104" s="720">
        <v>10000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v>95</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106</v>
      </c>
      <c r="E112" s="669">
        <f t="shared" ref="E112:M112" si="26">D112+$K37</f>
        <v>112</v>
      </c>
      <c r="F112" s="669">
        <f t="shared" si="26"/>
        <v>118</v>
      </c>
      <c r="G112" s="669">
        <f t="shared" si="26"/>
        <v>124</v>
      </c>
      <c r="H112" s="669">
        <f t="shared" si="26"/>
        <v>130</v>
      </c>
      <c r="I112" s="669">
        <f t="shared" si="26"/>
        <v>136</v>
      </c>
      <c r="J112" s="669">
        <f t="shared" si="26"/>
        <v>142</v>
      </c>
      <c r="K112" s="669">
        <f t="shared" si="26"/>
        <v>148</v>
      </c>
      <c r="L112" s="669">
        <f t="shared" si="26"/>
        <v>154</v>
      </c>
      <c r="M112" s="669">
        <f t="shared" si="26"/>
        <v>160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6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26"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45199</v>
      </c>
      <c r="C2" s="3260"/>
      <c r="D2" s="3261"/>
      <c r="E2" s="3262"/>
      <c r="F2" s="3262"/>
      <c r="G2" s="3256"/>
      <c r="H2" s="1938"/>
      <c r="I2" s="1938"/>
      <c r="J2" s="1938"/>
      <c r="K2" s="1939"/>
      <c r="L2" s="1938"/>
      <c r="M2" s="1938"/>
    </row>
    <row r="3" spans="1:33" ht="18" customHeight="1" thickBot="1">
      <c r="A3" s="820" t="s">
        <v>1715</v>
      </c>
      <c r="B3" s="821">
        <f ca="1">IF(ISERROR(B2*10000/F43),0,ROUND(B2*10000/F43,0))</f>
        <v>29347</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2735</v>
      </c>
      <c r="D5" s="2347" t="s">
        <v>2440</v>
      </c>
      <c r="E5" s="2341"/>
      <c r="F5" s="2342"/>
      <c r="G5" s="1943"/>
      <c r="H5" s="769">
        <v>1</v>
      </c>
      <c r="I5" s="770" t="s">
        <v>2437</v>
      </c>
      <c r="J5" s="54">
        <f ca="1">J6+J10+J12</f>
        <v>0</v>
      </c>
      <c r="K5" s="2347" t="s">
        <v>2440</v>
      </c>
      <c r="L5" s="2341"/>
      <c r="M5" s="2342"/>
    </row>
    <row r="6" spans="1:33" ht="18" customHeight="1">
      <c r="A6" s="1743" t="s">
        <v>1812</v>
      </c>
      <c r="B6" s="3666" t="s">
        <v>2442</v>
      </c>
      <c r="C6" s="771">
        <f ca="1">ROUND(F6*F8*F7*(1-F9)/10000,0)</f>
        <v>2732</v>
      </c>
      <c r="D6" s="2348" t="s">
        <v>2441</v>
      </c>
      <c r="E6" s="772" t="s">
        <v>1726</v>
      </c>
      <c r="F6" s="773">
        <f ca="1">INDIRECT("'数据-取费表'!u"&amp;$G$1)</f>
        <v>5.4</v>
      </c>
      <c r="G6" s="1943"/>
      <c r="H6" s="2355" t="s">
        <v>2447</v>
      </c>
      <c r="I6" s="3666" t="s">
        <v>2442</v>
      </c>
      <c r="J6" s="771">
        <f ca="1">ROUND(M6*M8*M7*(1-M9)/10000,0)</f>
        <v>0</v>
      </c>
      <c r="K6" s="337" t="s">
        <v>1725</v>
      </c>
      <c r="L6" s="772" t="s">
        <v>1726</v>
      </c>
      <c r="M6" s="773">
        <f ca="1">INDIRECT("'数据-取费表'!z"&amp;$G$1)</f>
        <v>0</v>
      </c>
    </row>
    <row r="7" spans="1:33" ht="18" customHeight="1">
      <c r="A7" s="2351"/>
      <c r="B7" s="3667"/>
      <c r="C7" s="776"/>
      <c r="D7" s="777"/>
      <c r="E7" s="772" t="s">
        <v>1727</v>
      </c>
      <c r="F7" s="3369">
        <f ca="1">IF(INDIRECT("'数据-取费表'!ah"&amp;$G$1)="",INDIRECT("'数据-取费表'!k"&amp;$G$1),INDIRECT("'数据-取费表'!ah"&amp;$G$1))</f>
        <v>15401.814</v>
      </c>
      <c r="G7" s="1943"/>
      <c r="H7" s="2340"/>
      <c r="I7" s="3667"/>
      <c r="J7" s="776"/>
      <c r="K7" s="777"/>
      <c r="L7" s="772" t="s">
        <v>1727</v>
      </c>
      <c r="M7" s="773">
        <f ca="1">F7</f>
        <v>15401.814</v>
      </c>
    </row>
    <row r="8" spans="1:33" ht="18" customHeight="1">
      <c r="A8" s="2344"/>
      <c r="B8" s="3668"/>
      <c r="C8" s="776"/>
      <c r="D8" s="777"/>
      <c r="E8" s="772" t="s">
        <v>1728</v>
      </c>
      <c r="F8" s="773">
        <f ca="1">INDIRECT("'数据-取费表'!ai"&amp;$G$1)</f>
        <v>365</v>
      </c>
      <c r="G8" s="1943"/>
      <c r="H8" s="2340"/>
      <c r="I8" s="3668"/>
      <c r="J8" s="776"/>
      <c r="K8" s="777"/>
      <c r="L8" s="772" t="s">
        <v>1728</v>
      </c>
      <c r="M8" s="773">
        <f ca="1">INDIRECT("'数据-取费表'!ai"&amp;$G$1)</f>
        <v>365</v>
      </c>
    </row>
    <row r="9" spans="1:33" ht="18" customHeight="1">
      <c r="A9" s="774"/>
      <c r="B9" s="3669"/>
      <c r="C9" s="776"/>
      <c r="D9" s="777"/>
      <c r="E9" s="772" t="s">
        <v>1729</v>
      </c>
      <c r="F9" s="782">
        <f ca="1">INDIRECT("'数据-取费表'!w"&amp;$G$1)</f>
        <v>0.1</v>
      </c>
      <c r="G9" s="1943"/>
      <c r="H9" s="2356"/>
      <c r="I9" s="3668"/>
      <c r="J9" s="776"/>
      <c r="K9" s="777"/>
      <c r="L9" s="783" t="s">
        <v>1729</v>
      </c>
      <c r="M9" s="784">
        <f ca="1">INDIRECT("'数据-取费表'!ab"&amp;$G$1)</f>
        <v>0</v>
      </c>
    </row>
    <row r="10" spans="1:33" ht="18" customHeight="1">
      <c r="A10" s="1743" t="s">
        <v>2445</v>
      </c>
      <c r="B10" s="2345" t="s">
        <v>2438</v>
      </c>
      <c r="C10" s="787">
        <f ca="1">ROUND(IF(F10="押一",C6/12*F11,IF(F10="押二",C6/12*2*F11,IF(F10="押三",C6/12*3*F11,C11*F11))),0)</f>
        <v>3</v>
      </c>
      <c r="D10" s="2352" t="s">
        <v>2933</v>
      </c>
      <c r="E10" s="2349" t="s">
        <v>2443</v>
      </c>
      <c r="F10" s="2463" t="s">
        <v>3168</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201</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797">
        <f>'数据-取费表'!B37</f>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109</v>
      </c>
      <c r="K22" s="2335" t="s">
        <v>1757</v>
      </c>
      <c r="L22" s="772" t="s">
        <v>1735</v>
      </c>
      <c r="M22" s="804">
        <f ca="1">INDIRECT("'数据-取费表'!Ak"&amp;$G$1)</f>
        <v>0.01</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-201</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383</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236</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143.1</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109</v>
      </c>
      <c r="D36" s="1889" t="s">
        <v>1791</v>
      </c>
      <c r="E36" s="772" t="s">
        <v>1784</v>
      </c>
      <c r="F36" s="804">
        <f ca="1">INDIRECT("'数据-取费表'!Ak"&amp;$G$1)</f>
        <v>0.01</v>
      </c>
      <c r="G36" s="1943"/>
      <c r="H36" s="1958"/>
      <c r="I36" s="826" t="s">
        <v>1803</v>
      </c>
      <c r="J36" s="827">
        <f ca="1">INDIRECT("'数据-取费表'!j"&amp;$G$1)</f>
        <v>0</v>
      </c>
      <c r="K36" s="1962"/>
      <c r="L36" s="1958"/>
      <c r="M36" s="1958"/>
    </row>
    <row r="37" spans="1:18" ht="18" customHeight="1">
      <c r="A37" s="1576" t="s">
        <v>1878</v>
      </c>
      <c r="B37" s="772" t="s">
        <v>671</v>
      </c>
      <c r="C37" s="52">
        <f ca="1">ROUND(C13*F37,1)</f>
        <v>10.9</v>
      </c>
      <c r="D37" s="1889" t="s">
        <v>1792</v>
      </c>
      <c r="E37" s="772" t="s">
        <v>1784</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27.4</v>
      </c>
      <c r="D38" s="2396" t="s">
        <v>1793</v>
      </c>
      <c r="E38" s="2397" t="s">
        <v>1784</v>
      </c>
      <c r="F38" s="2393">
        <f ca="1">INDIRECT("'数据-取费表'!Am"&amp;$G$1)</f>
        <v>0.01</v>
      </c>
      <c r="G38" s="1943"/>
      <c r="H38" s="1958"/>
      <c r="I38" s="830" t="s">
        <v>1805</v>
      </c>
      <c r="J38" s="831"/>
      <c r="K38" s="1963"/>
      <c r="L38" s="1958"/>
      <c r="M38" s="1958"/>
    </row>
    <row r="39" spans="1:18" ht="24.6" customHeight="1" thickTop="1">
      <c r="A39" s="1742" t="s">
        <v>1882</v>
      </c>
      <c r="B39" s="2721" t="s">
        <v>2799</v>
      </c>
      <c r="C39" s="780">
        <f ca="1">C5-C30</f>
        <v>2352</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45199</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0.24099999999999999</v>
      </c>
      <c r="K42" s="1962"/>
      <c r="L42" s="1898"/>
      <c r="M42" s="1898"/>
    </row>
    <row r="43" spans="1:18" ht="18" customHeight="1" thickBot="1">
      <c r="A43" s="810" t="s">
        <v>1775</v>
      </c>
      <c r="B43" s="811" t="s">
        <v>1798</v>
      </c>
      <c r="C43" s="812">
        <f ca="1">ROUND(C40*10000/F43,0)</f>
        <v>29347</v>
      </c>
      <c r="D43" s="813" t="s">
        <v>1799</v>
      </c>
      <c r="E43" s="814" t="s">
        <v>1800</v>
      </c>
      <c r="F43" s="815">
        <f ca="1">INDIRECT("'数据-取费表'!k"&amp;$G$1)</f>
        <v>15401.814</v>
      </c>
      <c r="G43" s="1943"/>
      <c r="H43" s="1898"/>
      <c r="I43" s="834" t="s">
        <v>1810</v>
      </c>
      <c r="J43" s="835">
        <f ca="1">1-J42</f>
        <v>0.75900000000000001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-49273</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45199</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141120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3" t="s">
        <v>2926</v>
      </c>
      <c r="L53" s="3704"/>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45199</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212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45199</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109</v>
      </c>
      <c r="D63" s="2479" t="s">
        <v>1791</v>
      </c>
      <c r="E63" s="772" t="s">
        <v>1735</v>
      </c>
      <c r="F63" s="804">
        <f t="shared" ca="1" si="0"/>
        <v>0.01</v>
      </c>
      <c r="I63" s="2822" t="s">
        <v>2352</v>
      </c>
      <c r="J63" s="2823">
        <v>70</v>
      </c>
      <c r="K63" s="2823">
        <v>50</v>
      </c>
      <c r="L63" s="2823">
        <v>80</v>
      </c>
      <c r="M63" s="2825">
        <v>0.02</v>
      </c>
      <c r="O63" s="2251" t="s">
        <v>2373</v>
      </c>
      <c r="P63" s="2252" t="s">
        <v>2390</v>
      </c>
      <c r="Q63" s="2253">
        <f ca="1">Q57+Q58</f>
        <v>45199</v>
      </c>
      <c r="R63" s="2256" t="s">
        <v>2374</v>
      </c>
    </row>
    <row r="64" spans="1:18" s="1940" customFormat="1" ht="16.5" thickBot="1">
      <c r="A64" s="1576" t="s">
        <v>1878</v>
      </c>
      <c r="B64" s="772" t="s">
        <v>671</v>
      </c>
      <c r="C64" s="52">
        <f ca="1">ROUND(C55*F64,1)</f>
        <v>10.9</v>
      </c>
      <c r="D64" s="2479" t="s">
        <v>672</v>
      </c>
      <c r="E64" s="772" t="s">
        <v>1735</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-212</v>
      </c>
      <c r="D66" s="2478" t="s">
        <v>692</v>
      </c>
      <c r="E66" s="2477"/>
      <c r="F66" s="807"/>
      <c r="K66" s="1966"/>
      <c r="O66" s="2251" t="s">
        <v>2361</v>
      </c>
      <c r="P66" s="2252" t="s">
        <v>2391</v>
      </c>
      <c r="Q66" s="2253">
        <f ca="1">C40+J29</f>
        <v>45199</v>
      </c>
      <c r="R66" s="2252" t="s">
        <v>2362</v>
      </c>
    </row>
    <row r="67" spans="1:18" s="1940" customFormat="1" ht="20.25" thickBot="1">
      <c r="A67" s="769" t="s">
        <v>1768</v>
      </c>
      <c r="B67" s="2110" t="s">
        <v>2286</v>
      </c>
      <c r="C67" s="771">
        <f ca="1">ROUND(C66*(1-((1+F69)/(1+F67))^F68)/(F67-F69),0)</f>
        <v>-4074</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141120</v>
      </c>
      <c r="R68" s="2259" t="s">
        <v>2398</v>
      </c>
    </row>
    <row r="69" spans="1:18" ht="20.25" thickBot="1">
      <c r="A69" s="778"/>
      <c r="B69" s="779"/>
      <c r="C69" s="780"/>
      <c r="D69" s="803"/>
      <c r="E69" s="772" t="s">
        <v>702</v>
      </c>
      <c r="F69" s="2224"/>
      <c r="O69" s="2254" t="s">
        <v>2366</v>
      </c>
      <c r="P69" s="2260" t="s">
        <v>2380</v>
      </c>
      <c r="Q69" s="2253">
        <f ca="1">ROUND(Q70-Q71*Q72,0)</f>
        <v>2352</v>
      </c>
      <c r="R69" s="2256"/>
    </row>
    <row r="70" spans="1:18" ht="15.75" thickBot="1">
      <c r="A70" s="810" t="s">
        <v>1775</v>
      </c>
      <c r="B70" s="811" t="s">
        <v>1798</v>
      </c>
      <c r="C70" s="812">
        <f ca="1">ROUND(C67*10000/F70,0)</f>
        <v>-2645</v>
      </c>
      <c r="D70" s="813" t="s">
        <v>1799</v>
      </c>
      <c r="E70" s="814" t="s">
        <v>1800</v>
      </c>
      <c r="F70" s="815">
        <f ca="1">F43</f>
        <v>15401.814</v>
      </c>
      <c r="O70" s="2254" t="s">
        <v>2381</v>
      </c>
      <c r="P70" s="2260" t="s">
        <v>2382</v>
      </c>
      <c r="Q70" s="2253">
        <f ca="1">C39</f>
        <v>2352</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45199</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topLeftCell="B25"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40297</v>
      </c>
      <c r="C2" s="3260"/>
      <c r="D2" s="3261"/>
      <c r="E2" s="3262"/>
      <c r="F2" s="3262"/>
      <c r="G2" s="3256"/>
      <c r="H2" s="1938"/>
      <c r="I2" s="1938"/>
      <c r="J2" s="1938"/>
      <c r="K2" s="1939"/>
      <c r="L2" s="1938"/>
      <c r="M2" s="1938"/>
    </row>
    <row r="3" spans="1:33" ht="18" customHeight="1" thickBot="1">
      <c r="A3" s="820" t="s">
        <v>1715</v>
      </c>
      <c r="B3" s="821">
        <f ca="1">IF(ISERROR(B2*10000/F43),0,ROUND(B2*10000/F43,0))</f>
        <v>26164</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1978</v>
      </c>
      <c r="D5" s="2347" t="s">
        <v>2440</v>
      </c>
      <c r="E5" s="2341"/>
      <c r="F5" s="2342"/>
      <c r="G5" s="1943"/>
      <c r="H5" s="769">
        <v>1</v>
      </c>
      <c r="I5" s="770" t="s">
        <v>2437</v>
      </c>
      <c r="J5" s="54">
        <f ca="1">J6+J10+J12</f>
        <v>0</v>
      </c>
      <c r="K5" s="2347" t="s">
        <v>2440</v>
      </c>
      <c r="L5" s="2341"/>
      <c r="M5" s="2342"/>
    </row>
    <row r="6" spans="1:33" ht="18" customHeight="1">
      <c r="A6" s="1743" t="s">
        <v>1812</v>
      </c>
      <c r="B6" s="3666" t="s">
        <v>2442</v>
      </c>
      <c r="C6" s="771">
        <f ca="1">ROUND(F6*F8*F7*(1-F9)/10000,0)</f>
        <v>1976</v>
      </c>
      <c r="D6" s="2348" t="s">
        <v>2441</v>
      </c>
      <c r="E6" s="772" t="s">
        <v>629</v>
      </c>
      <c r="F6" s="773">
        <f ca="1">INDIRECT("'数据-取费表'!u"&amp;$G$1)</f>
        <v>3.7</v>
      </c>
      <c r="G6" s="1943"/>
      <c r="H6" s="2355" t="s">
        <v>1812</v>
      </c>
      <c r="I6" s="3666" t="s">
        <v>2442</v>
      </c>
      <c r="J6" s="771">
        <f ca="1">ROUND(M6*M8*M7*(1-M9)/10000,0)</f>
        <v>0</v>
      </c>
      <c r="K6" s="337" t="s">
        <v>1725</v>
      </c>
      <c r="L6" s="772" t="s">
        <v>629</v>
      </c>
      <c r="M6" s="773">
        <f ca="1">INDIRECT("'数据-取费表'!z"&amp;$G$1)</f>
        <v>0</v>
      </c>
    </row>
    <row r="7" spans="1:33" ht="18" customHeight="1">
      <c r="A7" s="2351"/>
      <c r="B7" s="3667"/>
      <c r="C7" s="776"/>
      <c r="D7" s="777"/>
      <c r="E7" s="772" t="s">
        <v>630</v>
      </c>
      <c r="F7" s="3369">
        <f ca="1">IF(INDIRECT("'数据-取费表'!ah"&amp;$G$1)="",INDIRECT("'数据-取费表'!k"&amp;$G$1),INDIRECT("'数据-取费表'!ah"&amp;$G$1))</f>
        <v>15401.814</v>
      </c>
      <c r="G7" s="1943"/>
      <c r="H7" s="2340"/>
      <c r="I7" s="3667"/>
      <c r="J7" s="776"/>
      <c r="K7" s="777"/>
      <c r="L7" s="772" t="s">
        <v>630</v>
      </c>
      <c r="M7" s="773">
        <f ca="1">F7</f>
        <v>15401.814</v>
      </c>
    </row>
    <row r="8" spans="1:33" ht="18" customHeight="1">
      <c r="A8" s="2344"/>
      <c r="B8" s="3668"/>
      <c r="C8" s="776"/>
      <c r="D8" s="777"/>
      <c r="E8" s="772" t="s">
        <v>1728</v>
      </c>
      <c r="F8" s="773">
        <f ca="1">INDIRECT("'数据-取费表'!ai"&amp;$G$1)</f>
        <v>365</v>
      </c>
      <c r="G8" s="1943"/>
      <c r="H8" s="2340"/>
      <c r="I8" s="3668"/>
      <c r="J8" s="776"/>
      <c r="K8" s="777"/>
      <c r="L8" s="772" t="s">
        <v>1728</v>
      </c>
      <c r="M8" s="773">
        <f ca="1">INDIRECT("'数据-取费表'!ai"&amp;$G$1)</f>
        <v>365</v>
      </c>
    </row>
    <row r="9" spans="1:33" ht="18" customHeight="1">
      <c r="A9" s="774"/>
      <c r="B9" s="3669"/>
      <c r="C9" s="776"/>
      <c r="D9" s="777"/>
      <c r="E9" s="772" t="s">
        <v>632</v>
      </c>
      <c r="F9" s="782">
        <f ca="1">INDIRECT("'数据-取费表'!w"&amp;$G$1)</f>
        <v>0.05</v>
      </c>
      <c r="G9" s="1943"/>
      <c r="H9" s="2356"/>
      <c r="I9" s="3668"/>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3168</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10489</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10489</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140</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88.1</v>
      </c>
      <c r="K19" s="798" t="s">
        <v>657</v>
      </c>
      <c r="L19" s="772" t="s">
        <v>641</v>
      </c>
      <c r="M19" s="797">
        <f>IF(K19="按租金收入计税",'数据-取费表'!B51,'数据-取费表'!B50)</f>
        <v>1.2E-2</v>
      </c>
    </row>
    <row r="20" spans="1:33" s="1945" customFormat="1" ht="18" customHeight="1">
      <c r="A20" s="1576" t="s">
        <v>1877</v>
      </c>
      <c r="B20" s="772" t="s">
        <v>658</v>
      </c>
      <c r="C20" s="52">
        <f ca="1">ROUND(C19*F20,0)</f>
        <v>76</v>
      </c>
      <c r="D20" s="799" t="s">
        <v>659</v>
      </c>
      <c r="E20" s="772" t="s">
        <v>641</v>
      </c>
      <c r="F20" s="3395">
        <f>剩余法办公!F23</f>
        <v>0.01</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0.01</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52</v>
      </c>
      <c r="K22" s="3335" t="s">
        <v>1757</v>
      </c>
      <c r="L22" s="772" t="s">
        <v>641</v>
      </c>
      <c r="M22" s="804">
        <f ca="1">INDIRECT("'数据-取费表'!Ak"&amp;$G$1)</f>
        <v>5.0000000000000001E-3</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5.0000000000000001E-4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5.0000000000000001E-3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-140</v>
      </c>
      <c r="K25" s="2399" t="s">
        <v>1765</v>
      </c>
      <c r="L25" s="2400"/>
      <c r="M25" s="2401"/>
    </row>
    <row r="26" spans="1:33" ht="18" customHeight="1">
      <c r="A26" s="1575" t="s">
        <v>1819</v>
      </c>
      <c r="B26" s="772" t="s">
        <v>2419</v>
      </c>
      <c r="C26" s="52">
        <f ca="1">ROUND((C19+C20)*F26,0)</f>
        <v>1907</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2.5000000000000001E-3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10489</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260</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192</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103.5</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88.1</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52.4</v>
      </c>
      <c r="D36" s="3335" t="s">
        <v>1791</v>
      </c>
      <c r="E36" s="772" t="s">
        <v>641</v>
      </c>
      <c r="F36" s="804">
        <f ca="1">INDIRECT("'数据-取费表'!Ak"&amp;$G$1)</f>
        <v>5.0000000000000001E-3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5.2</v>
      </c>
      <c r="D37" s="3335" t="s">
        <v>1759</v>
      </c>
      <c r="E37" s="772" t="s">
        <v>641</v>
      </c>
      <c r="F37" s="805">
        <f ca="1">INDIRECT("'数据-取费表'!Al"&amp;$G$1)</f>
        <v>5.0000000000000001E-4</v>
      </c>
      <c r="G37" s="1943"/>
      <c r="H37" s="1958"/>
      <c r="I37" s="828" t="s">
        <v>1804</v>
      </c>
      <c r="J37" s="829"/>
      <c r="K37" s="1962"/>
      <c r="L37" s="1958"/>
      <c r="M37" s="1958"/>
    </row>
    <row r="38" spans="1:18" ht="18" customHeight="1" thickBot="1">
      <c r="A38" s="2402" t="s">
        <v>1879</v>
      </c>
      <c r="B38" s="2397" t="s">
        <v>658</v>
      </c>
      <c r="C38" s="2395">
        <f ca="1">ROUND(C5*F38,1)</f>
        <v>9.9</v>
      </c>
      <c r="D38" s="2396" t="s">
        <v>1762</v>
      </c>
      <c r="E38" s="2397" t="s">
        <v>641</v>
      </c>
      <c r="F38" s="2393">
        <f ca="1">INDIRECT("'数据-取费表'!Am"&amp;$G$1)</f>
        <v>5.0000000000000001E-3</v>
      </c>
      <c r="G38" s="1943"/>
      <c r="H38" s="1958"/>
      <c r="I38" s="830" t="s">
        <v>1805</v>
      </c>
      <c r="J38" s="831"/>
      <c r="K38" s="1963"/>
      <c r="L38" s="1958"/>
      <c r="M38" s="1958"/>
    </row>
    <row r="39" spans="1:18" ht="24.6" customHeight="1" thickTop="1">
      <c r="A39" s="1742" t="s">
        <v>1764</v>
      </c>
      <c r="B39" s="2721" t="s">
        <v>2799</v>
      </c>
      <c r="C39" s="780">
        <f ca="1">C5-C30</f>
        <v>1718</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40297</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0.26</v>
      </c>
      <c r="K42" s="1962"/>
      <c r="L42" s="1898"/>
      <c r="M42" s="1898"/>
    </row>
    <row r="43" spans="1:18" ht="18" customHeight="1" thickBot="1">
      <c r="A43" s="810" t="s">
        <v>1775</v>
      </c>
      <c r="B43" s="811" t="s">
        <v>1798</v>
      </c>
      <c r="C43" s="812">
        <f ca="1">ROUND(C40*10000/F43,0)</f>
        <v>26164</v>
      </c>
      <c r="D43" s="813" t="s">
        <v>1799</v>
      </c>
      <c r="E43" s="814" t="s">
        <v>1800</v>
      </c>
      <c r="F43" s="815">
        <f ca="1">INDIRECT("'数据-取费表'!k"&amp;$G$1)</f>
        <v>15401.814</v>
      </c>
      <c r="G43" s="1943"/>
      <c r="H43" s="1898"/>
      <c r="I43" s="834" t="s">
        <v>1810</v>
      </c>
      <c r="J43" s="835">
        <f ca="1">1-J42</f>
        <v>0.74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-43745</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40297</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10489</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103080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3" t="s">
        <v>2926</v>
      </c>
      <c r="L53" s="3704"/>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40297</v>
      </c>
      <c r="R54" s="2256" t="s">
        <v>2374</v>
      </c>
    </row>
    <row r="55" spans="1:18" s="1940" customFormat="1" ht="18" customHeight="1" thickTop="1" thickBot="1">
      <c r="A55" s="785">
        <v>2</v>
      </c>
      <c r="B55" s="786" t="s">
        <v>636</v>
      </c>
      <c r="C55" s="787">
        <f ca="1">C13</f>
        <v>10489</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10489</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147</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40297</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88.1</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52.4</v>
      </c>
      <c r="D63" s="3335" t="s">
        <v>1791</v>
      </c>
      <c r="E63" s="772" t="s">
        <v>641</v>
      </c>
      <c r="F63" s="804">
        <f t="shared" ca="1" si="0"/>
        <v>5.0000000000000001E-3</v>
      </c>
      <c r="I63" s="2822" t="s">
        <v>2352</v>
      </c>
      <c r="J63" s="2823">
        <v>70</v>
      </c>
      <c r="K63" s="2823">
        <v>50</v>
      </c>
      <c r="L63" s="2823">
        <v>80</v>
      </c>
      <c r="M63" s="2825">
        <v>0.02</v>
      </c>
      <c r="O63" s="2251" t="s">
        <v>2373</v>
      </c>
      <c r="P63" s="2252" t="s">
        <v>2390</v>
      </c>
      <c r="Q63" s="2253">
        <f ca="1">Q57+Q58</f>
        <v>40297</v>
      </c>
      <c r="R63" s="2256" t="s">
        <v>2374</v>
      </c>
    </row>
    <row r="64" spans="1:18" s="1940" customFormat="1" ht="16.5" thickBot="1">
      <c r="A64" s="1576" t="s">
        <v>1878</v>
      </c>
      <c r="B64" s="772" t="s">
        <v>671</v>
      </c>
      <c r="C64" s="52">
        <f ca="1">ROUND(C55*F64,1)</f>
        <v>5.2</v>
      </c>
      <c r="D64" s="3335" t="s">
        <v>672</v>
      </c>
      <c r="E64" s="772" t="s">
        <v>641</v>
      </c>
      <c r="F64" s="805">
        <f t="shared" ca="1" si="0"/>
        <v>5.0000000000000001E-4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5.0000000000000001E-3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-147</v>
      </c>
      <c r="D66" s="3336" t="s">
        <v>692</v>
      </c>
      <c r="E66" s="3339"/>
      <c r="F66" s="807"/>
      <c r="K66" s="1966"/>
      <c r="O66" s="2251" t="s">
        <v>2361</v>
      </c>
      <c r="P66" s="2252" t="s">
        <v>2387</v>
      </c>
      <c r="Q66" s="2253">
        <f ca="1">C40+J29</f>
        <v>40297</v>
      </c>
      <c r="R66" s="2252" t="s">
        <v>2362</v>
      </c>
    </row>
    <row r="67" spans="1:18" s="1940" customFormat="1" ht="20.25" thickBot="1">
      <c r="A67" s="769" t="s">
        <v>1768</v>
      </c>
      <c r="B67" s="2110" t="s">
        <v>2286</v>
      </c>
      <c r="C67" s="771">
        <f ca="1">ROUND(C66*(1-((1+F69)/(1+F67))^F68)/(F67-F69),0)</f>
        <v>-3448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103080</v>
      </c>
      <c r="R68" s="2259" t="s">
        <v>2398</v>
      </c>
    </row>
    <row r="69" spans="1:18" ht="20.25" thickBot="1">
      <c r="A69" s="778"/>
      <c r="B69" s="779"/>
      <c r="C69" s="780"/>
      <c r="D69" s="803"/>
      <c r="E69" s="772" t="s">
        <v>702</v>
      </c>
      <c r="F69" s="2224"/>
      <c r="O69" s="2254" t="s">
        <v>2366</v>
      </c>
      <c r="P69" s="2260" t="s">
        <v>2380</v>
      </c>
      <c r="Q69" s="2253">
        <f ca="1">ROUND(Q70-Q71*Q72,0)</f>
        <v>1718</v>
      </c>
      <c r="R69" s="2256"/>
    </row>
    <row r="70" spans="1:18" ht="15.75" thickBot="1">
      <c r="A70" s="810" t="s">
        <v>1775</v>
      </c>
      <c r="B70" s="811" t="s">
        <v>1798</v>
      </c>
      <c r="C70" s="812">
        <f ca="1">ROUND(C67*10000/F70,0)</f>
        <v>-2239</v>
      </c>
      <c r="D70" s="813" t="s">
        <v>1799</v>
      </c>
      <c r="E70" s="814" t="s">
        <v>1800</v>
      </c>
      <c r="F70" s="815">
        <f ca="1">F43</f>
        <v>15401.814</v>
      </c>
      <c r="O70" s="2254" t="s">
        <v>2381</v>
      </c>
      <c r="P70" s="2260" t="s">
        <v>2382</v>
      </c>
      <c r="Q70" s="2253">
        <f ca="1">C39</f>
        <v>1718</v>
      </c>
      <c r="R70" s="2252" t="s">
        <v>2362</v>
      </c>
    </row>
    <row r="71" spans="1:18" ht="15.75" thickBot="1">
      <c r="O71" s="2254" t="s">
        <v>2383</v>
      </c>
      <c r="P71" s="2260" t="s">
        <v>2384</v>
      </c>
      <c r="Q71" s="2253">
        <f ca="1">C13</f>
        <v>10489</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40297</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97" t="s">
        <v>514</v>
      </c>
      <c r="D4" s="3598"/>
      <c r="E4" s="3622" t="s">
        <v>515</v>
      </c>
      <c r="F4" s="3623"/>
      <c r="G4" s="3597" t="s">
        <v>516</v>
      </c>
      <c r="H4" s="3598"/>
      <c r="I4" s="3597" t="s">
        <v>517</v>
      </c>
      <c r="J4" s="3598"/>
      <c r="K4" s="506" t="s">
        <v>518</v>
      </c>
      <c r="L4" s="2013"/>
      <c r="M4" s="2014"/>
      <c r="N4" s="2014"/>
      <c r="O4" s="2014"/>
      <c r="P4" s="3599" t="s">
        <v>519</v>
      </c>
      <c r="Q4" s="3600"/>
      <c r="R4" s="3585" t="s">
        <v>515</v>
      </c>
      <c r="S4" s="3586"/>
      <c r="T4" s="3585" t="s">
        <v>516</v>
      </c>
      <c r="U4" s="3586"/>
      <c r="V4" s="3605" t="s">
        <v>517</v>
      </c>
      <c r="W4" s="3605"/>
      <c r="X4" s="1500"/>
      <c r="Y4" s="3585" t="s">
        <v>519</v>
      </c>
      <c r="Z4" s="3586"/>
      <c r="AA4" s="3580" t="s">
        <v>515</v>
      </c>
      <c r="AB4" s="3581" t="s">
        <v>516</v>
      </c>
      <c r="AC4" s="3580" t="s">
        <v>517</v>
      </c>
    </row>
    <row r="5" spans="1:29" ht="15">
      <c r="A5" s="507"/>
      <c r="B5" s="508"/>
      <c r="C5" s="3608" t="s">
        <v>2892</v>
      </c>
      <c r="D5" s="3609"/>
      <c r="E5" s="3624" t="s">
        <v>2893</v>
      </c>
      <c r="F5" s="3625"/>
      <c r="G5" s="3608" t="s">
        <v>2894</v>
      </c>
      <c r="H5" s="3609"/>
      <c r="I5" s="3608" t="s">
        <v>2895</v>
      </c>
      <c r="J5" s="3609"/>
      <c r="K5" s="506"/>
      <c r="L5" s="2013"/>
      <c r="M5" s="2014"/>
      <c r="N5" s="2014"/>
      <c r="O5" s="2014"/>
      <c r="P5" s="3601"/>
      <c r="Q5" s="3602"/>
      <c r="R5" s="3587"/>
      <c r="S5" s="3588"/>
      <c r="T5" s="3587"/>
      <c r="U5" s="3588"/>
      <c r="V5" s="3605"/>
      <c r="W5" s="3605"/>
      <c r="X5" s="1500"/>
      <c r="Y5" s="3587"/>
      <c r="Z5" s="3588"/>
      <c r="AA5" s="3581"/>
      <c r="AB5" s="3581"/>
      <c r="AC5" s="3581"/>
    </row>
    <row r="6" spans="1:29" ht="15.75" thickBot="1">
      <c r="A6" s="509"/>
      <c r="B6" s="510"/>
      <c r="C6" s="3606" t="s">
        <v>2896</v>
      </c>
      <c r="D6" s="3607"/>
      <c r="E6" s="3626" t="s">
        <v>2896</v>
      </c>
      <c r="F6" s="3627"/>
      <c r="G6" s="3606" t="s">
        <v>2896</v>
      </c>
      <c r="H6" s="3607"/>
      <c r="I6" s="3606" t="s">
        <v>2896</v>
      </c>
      <c r="J6" s="3607"/>
      <c r="K6" s="506" t="s">
        <v>520</v>
      </c>
      <c r="L6" s="2013"/>
      <c r="M6" s="2014"/>
      <c r="N6" s="2014"/>
      <c r="O6" s="2014"/>
      <c r="P6" s="3603"/>
      <c r="Q6" s="3604"/>
      <c r="R6" s="3587"/>
      <c r="S6" s="3588"/>
      <c r="T6" s="3589"/>
      <c r="U6" s="3590"/>
      <c r="V6" s="3605"/>
      <c r="W6" s="3605"/>
      <c r="X6" s="1500"/>
      <c r="Y6" s="3589"/>
      <c r="Z6" s="3590"/>
      <c r="AA6" s="3582"/>
      <c r="AB6" s="3582"/>
      <c r="AC6" s="3582"/>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583" t="s">
        <v>522</v>
      </c>
      <c r="Q7" s="3592"/>
      <c r="R7" s="1501" t="s">
        <v>8</v>
      </c>
      <c r="S7" s="1502">
        <f t="shared" ref="S7:S15" si="0">F7</f>
        <v>0</v>
      </c>
      <c r="T7" s="1501" t="s">
        <v>8</v>
      </c>
      <c r="U7" s="1502">
        <f t="shared" ref="U7:U15" si="1">H7</f>
        <v>0</v>
      </c>
      <c r="V7" s="1501" t="s">
        <v>8</v>
      </c>
      <c r="W7" s="1502">
        <f t="shared" ref="W7:W15" si="2">J7</f>
        <v>0</v>
      </c>
      <c r="X7" s="1503"/>
      <c r="Y7" s="3583" t="s">
        <v>522</v>
      </c>
      <c r="Z7" s="3584"/>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583" t="s">
        <v>525</v>
      </c>
      <c r="Q8" s="3584"/>
      <c r="R8" s="1501" t="s">
        <v>8</v>
      </c>
      <c r="S8" s="1502">
        <f t="shared" si="0"/>
        <v>0</v>
      </c>
      <c r="T8" s="1501" t="s">
        <v>8</v>
      </c>
      <c r="U8" s="1502">
        <f t="shared" si="1"/>
        <v>0</v>
      </c>
      <c r="V8" s="1501" t="s">
        <v>8</v>
      </c>
      <c r="W8" s="1502">
        <f t="shared" si="2"/>
        <v>0</v>
      </c>
      <c r="X8" s="1503"/>
      <c r="Y8" s="3583" t="s">
        <v>525</v>
      </c>
      <c r="Z8" s="3584"/>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91" t="s">
        <v>527</v>
      </c>
      <c r="Q9" s="1132" t="str">
        <f t="shared" ref="Q9:Q15" si="6">B9</f>
        <v>用途</v>
      </c>
      <c r="R9" s="1501" t="s">
        <v>8</v>
      </c>
      <c r="S9" s="1502">
        <f t="shared" si="0"/>
        <v>100</v>
      </c>
      <c r="T9" s="1501" t="s">
        <v>8</v>
      </c>
      <c r="U9" s="1502">
        <f t="shared" si="1"/>
        <v>100</v>
      </c>
      <c r="V9" s="1501" t="s">
        <v>8</v>
      </c>
      <c r="W9" s="1502">
        <f t="shared" si="2"/>
        <v>100</v>
      </c>
      <c r="X9" s="1503"/>
      <c r="Y9" s="3542"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91"/>
      <c r="Q10" s="1132" t="str">
        <f t="shared" si="6"/>
        <v>土地使用年限（年）</v>
      </c>
      <c r="R10" s="1501" t="s">
        <v>8</v>
      </c>
      <c r="S10" s="1502">
        <f t="shared" si="0"/>
        <v>100</v>
      </c>
      <c r="T10" s="1501" t="s">
        <v>8</v>
      </c>
      <c r="U10" s="1502">
        <f t="shared" si="1"/>
        <v>100</v>
      </c>
      <c r="V10" s="1501" t="s">
        <v>8</v>
      </c>
      <c r="W10" s="1502">
        <f t="shared" si="2"/>
        <v>100</v>
      </c>
      <c r="X10" s="1503"/>
      <c r="Y10" s="3542"/>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91"/>
      <c r="Q11" s="1132" t="str">
        <f t="shared" si="6"/>
        <v>容积率</v>
      </c>
      <c r="R11" s="1501" t="s">
        <v>8</v>
      </c>
      <c r="S11" s="1502" t="e">
        <f t="shared" si="0"/>
        <v>#N/A</v>
      </c>
      <c r="T11" s="1501" t="s">
        <v>8</v>
      </c>
      <c r="U11" s="1502" t="e">
        <f t="shared" si="1"/>
        <v>#N/A</v>
      </c>
      <c r="V11" s="1501" t="s">
        <v>8</v>
      </c>
      <c r="W11" s="1502" t="e">
        <f t="shared" si="2"/>
        <v>#N/A</v>
      </c>
      <c r="X11" s="1503"/>
      <c r="Y11" s="3542"/>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91"/>
      <c r="Q12" s="1132">
        <f t="shared" si="6"/>
        <v>111</v>
      </c>
      <c r="R12" s="1501" t="s">
        <v>8</v>
      </c>
      <c r="S12" s="1502">
        <f t="shared" si="0"/>
        <v>100</v>
      </c>
      <c r="T12" s="1501" t="s">
        <v>8</v>
      </c>
      <c r="U12" s="1502">
        <f t="shared" si="1"/>
        <v>100</v>
      </c>
      <c r="V12" s="1501" t="s">
        <v>8</v>
      </c>
      <c r="W12" s="1502">
        <f t="shared" si="2"/>
        <v>100</v>
      </c>
      <c r="X12" s="1503"/>
      <c r="Y12" s="3542"/>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91"/>
      <c r="Q13" s="1132">
        <f t="shared" si="6"/>
        <v>111</v>
      </c>
      <c r="R13" s="1501" t="s">
        <v>8</v>
      </c>
      <c r="S13" s="1502">
        <f t="shared" si="0"/>
        <v>100</v>
      </c>
      <c r="T13" s="1501" t="s">
        <v>8</v>
      </c>
      <c r="U13" s="1502">
        <f t="shared" si="1"/>
        <v>100</v>
      </c>
      <c r="V13" s="1501" t="s">
        <v>8</v>
      </c>
      <c r="W13" s="1502">
        <f t="shared" si="2"/>
        <v>100</v>
      </c>
      <c r="X13" s="1503"/>
      <c r="Y13" s="3542"/>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91"/>
      <c r="Q14" s="1132">
        <f t="shared" si="6"/>
        <v>111</v>
      </c>
      <c r="R14" s="1501" t="s">
        <v>8</v>
      </c>
      <c r="S14" s="1502">
        <f t="shared" si="0"/>
        <v>100</v>
      </c>
      <c r="T14" s="1501" t="s">
        <v>8</v>
      </c>
      <c r="U14" s="1502">
        <f t="shared" si="1"/>
        <v>100</v>
      </c>
      <c r="V14" s="1501" t="s">
        <v>8</v>
      </c>
      <c r="W14" s="1502">
        <f t="shared" si="2"/>
        <v>100</v>
      </c>
      <c r="X14" s="1503"/>
      <c r="Y14" s="3542"/>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593" t="s">
        <v>532</v>
      </c>
      <c r="Q15" s="1505" t="str">
        <f t="shared" si="6"/>
        <v>产业集聚程度</v>
      </c>
      <c r="R15" s="1506" t="s">
        <v>8</v>
      </c>
      <c r="S15" s="1507">
        <f t="shared" si="0"/>
        <v>100</v>
      </c>
      <c r="T15" s="1506" t="s">
        <v>8</v>
      </c>
      <c r="U15" s="1507">
        <f t="shared" si="1"/>
        <v>100</v>
      </c>
      <c r="V15" s="1506" t="s">
        <v>8</v>
      </c>
      <c r="W15" s="1507">
        <f t="shared" si="2"/>
        <v>100</v>
      </c>
      <c r="X15" s="1500"/>
      <c r="Y15" s="3593"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594"/>
      <c r="Q16" s="1505"/>
      <c r="R16" s="1506"/>
      <c r="S16" s="1507"/>
      <c r="T16" s="1506"/>
      <c r="U16" s="1507"/>
      <c r="V16" s="1506"/>
      <c r="W16" s="1507"/>
      <c r="X16" s="1500"/>
      <c r="Y16" s="3594"/>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594"/>
      <c r="Q17" s="1505" t="str">
        <f>B17</f>
        <v>交通便捷度</v>
      </c>
      <c r="R17" s="1506" t="s">
        <v>8</v>
      </c>
      <c r="S17" s="1507">
        <f>F17</f>
        <v>100</v>
      </c>
      <c r="T17" s="1506" t="s">
        <v>8</v>
      </c>
      <c r="U17" s="1507">
        <f>H17</f>
        <v>100</v>
      </c>
      <c r="V17" s="1506" t="s">
        <v>8</v>
      </c>
      <c r="W17" s="1507">
        <f>J17</f>
        <v>100</v>
      </c>
      <c r="X17" s="1500"/>
      <c r="Y17" s="3594"/>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594"/>
      <c r="Q18" s="1505"/>
      <c r="R18" s="1506"/>
      <c r="S18" s="1507"/>
      <c r="T18" s="1506"/>
      <c r="U18" s="1507"/>
      <c r="V18" s="1506"/>
      <c r="W18" s="1507"/>
      <c r="X18" s="1500"/>
      <c r="Y18" s="3594"/>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594"/>
      <c r="Q19" s="1505" t="str">
        <f>B19</f>
        <v>公共配套设施</v>
      </c>
      <c r="R19" s="1506" t="s">
        <v>8</v>
      </c>
      <c r="S19" s="1507">
        <f>F19</f>
        <v>100</v>
      </c>
      <c r="T19" s="1506" t="s">
        <v>8</v>
      </c>
      <c r="U19" s="1507">
        <f>H19</f>
        <v>100</v>
      </c>
      <c r="V19" s="1506" t="s">
        <v>8</v>
      </c>
      <c r="W19" s="1507">
        <f>J19</f>
        <v>100</v>
      </c>
      <c r="X19" s="1500"/>
      <c r="Y19" s="3594"/>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594"/>
      <c r="Q20" s="1505"/>
      <c r="R20" s="1506"/>
      <c r="S20" s="1507"/>
      <c r="T20" s="1506"/>
      <c r="U20" s="1507"/>
      <c r="V20" s="1506"/>
      <c r="W20" s="1507"/>
      <c r="X20" s="1500"/>
      <c r="Y20" s="3594"/>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594"/>
      <c r="Q21" s="2427" t="str">
        <f>B21</f>
        <v>基础设施水平</v>
      </c>
      <c r="R21" s="1506" t="s">
        <v>8</v>
      </c>
      <c r="S21" s="1507">
        <f>F21</f>
        <v>100</v>
      </c>
      <c r="T21" s="1506" t="s">
        <v>8</v>
      </c>
      <c r="U21" s="1507">
        <f>H21</f>
        <v>100</v>
      </c>
      <c r="V21" s="1506" t="s">
        <v>8</v>
      </c>
      <c r="W21" s="1507">
        <f>J21</f>
        <v>100</v>
      </c>
      <c r="X21" s="2429"/>
      <c r="Y21" s="3594"/>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594"/>
      <c r="Q22" s="2427"/>
      <c r="R22" s="1506"/>
      <c r="S22" s="1507"/>
      <c r="T22" s="1506"/>
      <c r="U22" s="1507"/>
      <c r="V22" s="1506"/>
      <c r="W22" s="1507"/>
      <c r="X22" s="2429"/>
      <c r="Y22" s="3594"/>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594"/>
      <c r="Q23" s="1505" t="str">
        <f>B23</f>
        <v>环境质量</v>
      </c>
      <c r="R23" s="1506" t="s">
        <v>8</v>
      </c>
      <c r="S23" s="1507">
        <f>F23</f>
        <v>100</v>
      </c>
      <c r="T23" s="1506" t="s">
        <v>8</v>
      </c>
      <c r="U23" s="1507">
        <f>H23</f>
        <v>100</v>
      </c>
      <c r="V23" s="1506" t="s">
        <v>8</v>
      </c>
      <c r="W23" s="1507">
        <f>J23</f>
        <v>100</v>
      </c>
      <c r="X23" s="1500"/>
      <c r="Y23" s="3594"/>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594"/>
      <c r="Q24" s="1505"/>
      <c r="R24" s="1506"/>
      <c r="S24" s="1507"/>
      <c r="T24" s="1506"/>
      <c r="U24" s="1507"/>
      <c r="V24" s="1506"/>
      <c r="W24" s="1507"/>
      <c r="X24" s="1500"/>
      <c r="Y24" s="3594"/>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594"/>
      <c r="Q25" s="1505">
        <f>B25</f>
        <v>111</v>
      </c>
      <c r="R25" s="1506" t="s">
        <v>8</v>
      </c>
      <c r="S25" s="1507">
        <f>F25</f>
        <v>100</v>
      </c>
      <c r="T25" s="1506" t="s">
        <v>8</v>
      </c>
      <c r="U25" s="1507">
        <f>H25</f>
        <v>100</v>
      </c>
      <c r="V25" s="1506" t="s">
        <v>8</v>
      </c>
      <c r="W25" s="1507">
        <f>J25</f>
        <v>100</v>
      </c>
      <c r="X25" s="1500"/>
      <c r="Y25" s="3594"/>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594"/>
      <c r="Q26" s="1505">
        <f t="shared" ref="Q26:Q40" si="11">B26</f>
        <v>111</v>
      </c>
      <c r="R26" s="1506" t="s">
        <v>8</v>
      </c>
      <c r="S26" s="1507">
        <f>F26</f>
        <v>100</v>
      </c>
      <c r="T26" s="1506" t="s">
        <v>8</v>
      </c>
      <c r="U26" s="1507">
        <f>H26</f>
        <v>100</v>
      </c>
      <c r="V26" s="1506" t="s">
        <v>8</v>
      </c>
      <c r="W26" s="1507">
        <f>J26</f>
        <v>100</v>
      </c>
      <c r="X26" s="1500"/>
      <c r="Y26" s="3594"/>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594"/>
      <c r="Q27" s="1132">
        <f t="shared" si="11"/>
        <v>111</v>
      </c>
      <c r="R27" s="1501" t="s">
        <v>8</v>
      </c>
      <c r="S27" s="1502">
        <f>F27</f>
        <v>100</v>
      </c>
      <c r="T27" s="1501" t="s">
        <v>8</v>
      </c>
      <c r="U27" s="1502">
        <f>H27</f>
        <v>100</v>
      </c>
      <c r="V27" s="1501" t="s">
        <v>8</v>
      </c>
      <c r="W27" s="1502">
        <f>J27</f>
        <v>100</v>
      </c>
      <c r="X27" s="1503"/>
      <c r="Y27" s="3594"/>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594"/>
      <c r="Q28" s="1505">
        <f t="shared" si="11"/>
        <v>111</v>
      </c>
      <c r="R28" s="1506" t="s">
        <v>8</v>
      </c>
      <c r="S28" s="1507">
        <f t="shared" ref="S28:S40" si="12">F28</f>
        <v>100</v>
      </c>
      <c r="T28" s="1506" t="s">
        <v>8</v>
      </c>
      <c r="U28" s="1507">
        <f t="shared" ref="U28:U40" si="13">H28</f>
        <v>100</v>
      </c>
      <c r="V28" s="1506" t="s">
        <v>8</v>
      </c>
      <c r="W28" s="1507">
        <f t="shared" ref="W28:W40" si="14">J28</f>
        <v>100</v>
      </c>
      <c r="X28" s="1500"/>
      <c r="Y28" s="3594"/>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595" t="s">
        <v>542</v>
      </c>
      <c r="Q29" s="1505" t="str">
        <f t="shared" si="11"/>
        <v>建筑类型</v>
      </c>
      <c r="R29" s="1506" t="s">
        <v>8</v>
      </c>
      <c r="S29" s="1507">
        <f t="shared" si="12"/>
        <v>100</v>
      </c>
      <c r="T29" s="1506" t="s">
        <v>8</v>
      </c>
      <c r="U29" s="1507">
        <f t="shared" si="13"/>
        <v>100</v>
      </c>
      <c r="V29" s="1506" t="s">
        <v>8</v>
      </c>
      <c r="W29" s="1507">
        <f t="shared" si="14"/>
        <v>100</v>
      </c>
      <c r="X29" s="1500"/>
      <c r="Y29" s="3596"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596"/>
      <c r="Q30" s="1534" t="str">
        <f t="shared" si="11"/>
        <v>项目建筑规模</v>
      </c>
      <c r="R30" s="1510" t="s">
        <v>8</v>
      </c>
      <c r="S30" s="1511" t="e">
        <f t="shared" si="12"/>
        <v>#N/A</v>
      </c>
      <c r="T30" s="1510" t="s">
        <v>8</v>
      </c>
      <c r="U30" s="1511" t="e">
        <f t="shared" si="13"/>
        <v>#N/A</v>
      </c>
      <c r="V30" s="1510" t="s">
        <v>8</v>
      </c>
      <c r="W30" s="1511" t="e">
        <f t="shared" si="14"/>
        <v>#N/A</v>
      </c>
      <c r="X30" s="1512"/>
      <c r="Y30" s="3596"/>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596"/>
      <c r="Q31" s="1505" t="str">
        <f t="shared" si="11"/>
        <v>建筑结构</v>
      </c>
      <c r="R31" s="1506" t="s">
        <v>8</v>
      </c>
      <c r="S31" s="1507">
        <f t="shared" si="12"/>
        <v>100</v>
      </c>
      <c r="T31" s="1506" t="s">
        <v>8</v>
      </c>
      <c r="U31" s="1507">
        <f t="shared" si="13"/>
        <v>100</v>
      </c>
      <c r="V31" s="1506" t="s">
        <v>8</v>
      </c>
      <c r="W31" s="1507">
        <f t="shared" si="14"/>
        <v>100</v>
      </c>
      <c r="X31" s="1500"/>
      <c r="Y31" s="3596"/>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596"/>
      <c r="Q32" s="1505" t="str">
        <f t="shared" si="11"/>
        <v>公共部分装修</v>
      </c>
      <c r="R32" s="1506" t="s">
        <v>8</v>
      </c>
      <c r="S32" s="1507">
        <f t="shared" si="12"/>
        <v>100</v>
      </c>
      <c r="T32" s="1506" t="s">
        <v>8</v>
      </c>
      <c r="U32" s="1507">
        <f t="shared" si="13"/>
        <v>100</v>
      </c>
      <c r="V32" s="1506" t="s">
        <v>8</v>
      </c>
      <c r="W32" s="1507">
        <f t="shared" si="14"/>
        <v>100</v>
      </c>
      <c r="X32" s="1500"/>
      <c r="Y32" s="3596"/>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596"/>
      <c r="Q33" s="1505" t="str">
        <f t="shared" si="11"/>
        <v>成新度</v>
      </c>
      <c r="R33" s="1506" t="s">
        <v>8</v>
      </c>
      <c r="S33" s="1507" t="e">
        <f t="shared" si="12"/>
        <v>#N/A</v>
      </c>
      <c r="T33" s="1506" t="s">
        <v>8</v>
      </c>
      <c r="U33" s="1507" t="e">
        <f t="shared" si="13"/>
        <v>#N/A</v>
      </c>
      <c r="V33" s="1506" t="s">
        <v>8</v>
      </c>
      <c r="W33" s="1507" t="e">
        <f t="shared" si="14"/>
        <v>#N/A</v>
      </c>
      <c r="X33" s="1500"/>
      <c r="Y33" s="3596"/>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596"/>
      <c r="Q34" s="1132" t="str">
        <f t="shared" si="11"/>
        <v>物业管理</v>
      </c>
      <c r="R34" s="1501" t="s">
        <v>8</v>
      </c>
      <c r="S34" s="1502">
        <f t="shared" si="12"/>
        <v>100</v>
      </c>
      <c r="T34" s="1501" t="s">
        <v>8</v>
      </c>
      <c r="U34" s="1502">
        <f t="shared" si="13"/>
        <v>100</v>
      </c>
      <c r="V34" s="1501" t="s">
        <v>8</v>
      </c>
      <c r="W34" s="1502">
        <f t="shared" si="14"/>
        <v>100</v>
      </c>
      <c r="X34" s="1503"/>
      <c r="Y34" s="3596"/>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596" t="s">
        <v>542</v>
      </c>
      <c r="Q35" s="1505" t="str">
        <f t="shared" si="11"/>
        <v>市政基础设施</v>
      </c>
      <c r="R35" s="1506" t="s">
        <v>8</v>
      </c>
      <c r="S35" s="1507">
        <f t="shared" si="12"/>
        <v>100</v>
      </c>
      <c r="T35" s="1506" t="s">
        <v>8</v>
      </c>
      <c r="U35" s="1507">
        <f t="shared" si="13"/>
        <v>100</v>
      </c>
      <c r="V35" s="1506" t="s">
        <v>8</v>
      </c>
      <c r="W35" s="1507">
        <f t="shared" si="14"/>
        <v>100</v>
      </c>
      <c r="X35" s="1500"/>
      <c r="Y35" s="3596"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596"/>
      <c r="Q36" s="1505" t="str">
        <f t="shared" si="11"/>
        <v>内部装修</v>
      </c>
      <c r="R36" s="1506" t="s">
        <v>8</v>
      </c>
      <c r="S36" s="1507">
        <f t="shared" si="12"/>
        <v>100</v>
      </c>
      <c r="T36" s="1506" t="s">
        <v>8</v>
      </c>
      <c r="U36" s="1507">
        <f t="shared" si="13"/>
        <v>100</v>
      </c>
      <c r="V36" s="1506" t="s">
        <v>8</v>
      </c>
      <c r="W36" s="1507">
        <f t="shared" si="14"/>
        <v>100</v>
      </c>
      <c r="X36" s="1500"/>
      <c r="Y36" s="3596"/>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596"/>
      <c r="Q37" s="1505" t="str">
        <f t="shared" si="11"/>
        <v>内部装修状况</v>
      </c>
      <c r="R37" s="1506" t="s">
        <v>8</v>
      </c>
      <c r="S37" s="1507">
        <f t="shared" si="12"/>
        <v>100</v>
      </c>
      <c r="T37" s="1506" t="s">
        <v>8</v>
      </c>
      <c r="U37" s="1507">
        <f t="shared" si="13"/>
        <v>100</v>
      </c>
      <c r="V37" s="1506" t="s">
        <v>8</v>
      </c>
      <c r="W37" s="1507">
        <f t="shared" si="14"/>
        <v>100</v>
      </c>
      <c r="X37" s="1500"/>
      <c r="Y37" s="3596"/>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596"/>
      <c r="Q38" s="1534">
        <f t="shared" si="11"/>
        <v>111</v>
      </c>
      <c r="R38" s="1510" t="s">
        <v>8</v>
      </c>
      <c r="S38" s="1511">
        <f t="shared" si="12"/>
        <v>100</v>
      </c>
      <c r="T38" s="1510" t="s">
        <v>8</v>
      </c>
      <c r="U38" s="1511">
        <f t="shared" si="13"/>
        <v>100</v>
      </c>
      <c r="V38" s="1510" t="s">
        <v>8</v>
      </c>
      <c r="W38" s="1511">
        <f t="shared" si="14"/>
        <v>100</v>
      </c>
      <c r="X38" s="1512"/>
      <c r="Y38" s="3596"/>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596"/>
      <c r="Q39" s="1505">
        <f t="shared" si="11"/>
        <v>111</v>
      </c>
      <c r="R39" s="1506" t="s">
        <v>8</v>
      </c>
      <c r="S39" s="1507">
        <f t="shared" si="12"/>
        <v>100</v>
      </c>
      <c r="T39" s="1506" t="s">
        <v>8</v>
      </c>
      <c r="U39" s="1507">
        <f t="shared" si="13"/>
        <v>100</v>
      </c>
      <c r="V39" s="1506" t="s">
        <v>8</v>
      </c>
      <c r="W39" s="1507">
        <f t="shared" si="14"/>
        <v>100</v>
      </c>
      <c r="X39" s="1500"/>
      <c r="Y39" s="3596"/>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7"/>
      <c r="Q40" s="1505">
        <f t="shared" si="11"/>
        <v>111</v>
      </c>
      <c r="R40" s="1506" t="s">
        <v>8</v>
      </c>
      <c r="S40" s="1507">
        <f t="shared" si="12"/>
        <v>100</v>
      </c>
      <c r="T40" s="1506" t="s">
        <v>8</v>
      </c>
      <c r="U40" s="1507">
        <f t="shared" si="13"/>
        <v>100</v>
      </c>
      <c r="V40" s="1506" t="s">
        <v>8</v>
      </c>
      <c r="W40" s="1507">
        <f t="shared" si="14"/>
        <v>100</v>
      </c>
      <c r="X40" s="1500"/>
      <c r="Y40" s="3697"/>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91" t="str">
        <f>A41</f>
        <v>成交单价（元/平方米）</v>
      </c>
      <c r="Q41" s="3591"/>
      <c r="R41" s="3696">
        <f>E41</f>
        <v>0</v>
      </c>
      <c r="S41" s="3696"/>
      <c r="T41" s="3696">
        <f>G41</f>
        <v>0</v>
      </c>
      <c r="U41" s="3696"/>
      <c r="V41" s="3696">
        <f>I41</f>
        <v>0</v>
      </c>
      <c r="W41" s="3696"/>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91" t="str">
        <f>A42</f>
        <v>比较价格（元/平方米）</v>
      </c>
      <c r="Q42" s="3591"/>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612" t="str">
        <f>A43</f>
        <v>估价对象XX用房的比较价格（楼面单价，元/平方米）</v>
      </c>
      <c r="Q43" s="3613"/>
      <c r="R43" s="3695" t="e">
        <f>IF(F1="售价",ROUND(IF(D42="简单平均",AVERAGE(R42:V42),R42*F42+T42*H42+V42*J42),0),ROUND(IF(D42="简单平均",AVERAGE(R42:V42),R42*F42+T42*H42+V42*J42),1))</f>
        <v>#DIV/0!</v>
      </c>
      <c r="S43" s="3695"/>
      <c r="T43" s="3695"/>
      <c r="U43" s="3695"/>
      <c r="V43" s="3695"/>
      <c r="W43" s="3695"/>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7" t="s">
        <v>790</v>
      </c>
      <c r="D4" s="3598"/>
      <c r="E4" s="3597" t="s">
        <v>791</v>
      </c>
      <c r="F4" s="3598"/>
      <c r="G4" s="3597" t="s">
        <v>792</v>
      </c>
      <c r="H4" s="3598"/>
      <c r="I4" s="3597" t="s">
        <v>793</v>
      </c>
      <c r="J4" s="3598"/>
      <c r="K4" s="506" t="s">
        <v>794</v>
      </c>
      <c r="L4" s="2013"/>
      <c r="M4" s="2014"/>
      <c r="N4" s="2014"/>
      <c r="O4" s="2014"/>
      <c r="P4" s="3599" t="s">
        <v>795</v>
      </c>
      <c r="Q4" s="3600"/>
      <c r="R4" s="3585" t="s">
        <v>791</v>
      </c>
      <c r="S4" s="3586"/>
      <c r="T4" s="3585" t="s">
        <v>792</v>
      </c>
      <c r="U4" s="3586"/>
      <c r="V4" s="3605" t="s">
        <v>793</v>
      </c>
      <c r="W4" s="3605"/>
      <c r="X4" s="1500"/>
      <c r="Y4" s="3585" t="s">
        <v>795</v>
      </c>
      <c r="Z4" s="3586"/>
      <c r="AA4" s="3580" t="s">
        <v>791</v>
      </c>
      <c r="AB4" s="3581" t="s">
        <v>792</v>
      </c>
      <c r="AC4" s="3580" t="s">
        <v>793</v>
      </c>
    </row>
    <row r="5" spans="1:29" ht="15">
      <c r="A5" s="507"/>
      <c r="B5" s="508"/>
      <c r="C5" s="3608" t="s">
        <v>2892</v>
      </c>
      <c r="D5" s="3609"/>
      <c r="E5" s="3608" t="s">
        <v>2893</v>
      </c>
      <c r="F5" s="3609"/>
      <c r="G5" s="3608" t="s">
        <v>2894</v>
      </c>
      <c r="H5" s="3609"/>
      <c r="I5" s="3608" t="s">
        <v>2895</v>
      </c>
      <c r="J5" s="3609"/>
      <c r="K5" s="506"/>
      <c r="L5" s="2013"/>
      <c r="M5" s="2014"/>
      <c r="N5" s="2014"/>
      <c r="O5" s="2014"/>
      <c r="P5" s="3601"/>
      <c r="Q5" s="3602"/>
      <c r="R5" s="3587"/>
      <c r="S5" s="3588"/>
      <c r="T5" s="3587"/>
      <c r="U5" s="3588"/>
      <c r="V5" s="3605"/>
      <c r="W5" s="3605"/>
      <c r="X5" s="1500"/>
      <c r="Y5" s="3587"/>
      <c r="Z5" s="3588"/>
      <c r="AA5" s="3581"/>
      <c r="AB5" s="3581"/>
      <c r="AC5" s="3581"/>
    </row>
    <row r="6" spans="1:29" ht="15.75" thickBot="1">
      <c r="A6" s="509"/>
      <c r="B6" s="510"/>
      <c r="C6" s="3606" t="s">
        <v>2896</v>
      </c>
      <c r="D6" s="3607"/>
      <c r="E6" s="3610" t="s">
        <v>2896</v>
      </c>
      <c r="F6" s="3611"/>
      <c r="G6" s="3606" t="s">
        <v>2896</v>
      </c>
      <c r="H6" s="3607"/>
      <c r="I6" s="3606" t="s">
        <v>2896</v>
      </c>
      <c r="J6" s="3607"/>
      <c r="K6" s="506" t="s">
        <v>520</v>
      </c>
      <c r="L6" s="2013"/>
      <c r="M6" s="2014"/>
      <c r="N6" s="2014"/>
      <c r="O6" s="2014"/>
      <c r="P6" s="3603"/>
      <c r="Q6" s="3604"/>
      <c r="R6" s="3587"/>
      <c r="S6" s="3588"/>
      <c r="T6" s="3589"/>
      <c r="U6" s="3590"/>
      <c r="V6" s="3605"/>
      <c r="W6" s="3605"/>
      <c r="X6" s="1500"/>
      <c r="Y6" s="3589"/>
      <c r="Z6" s="3590"/>
      <c r="AA6" s="3582"/>
      <c r="AB6" s="3582"/>
      <c r="AC6" s="3582"/>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583" t="s">
        <v>522</v>
      </c>
      <c r="Q7" s="3592"/>
      <c r="R7" s="1501" t="s">
        <v>8</v>
      </c>
      <c r="S7" s="1502">
        <f t="shared" ref="S7:S14" si="0">F7</f>
        <v>0</v>
      </c>
      <c r="T7" s="1501" t="s">
        <v>8</v>
      </c>
      <c r="U7" s="1502">
        <f t="shared" ref="U7:U14" si="1">H7</f>
        <v>0</v>
      </c>
      <c r="V7" s="1501" t="s">
        <v>8</v>
      </c>
      <c r="W7" s="1502">
        <f t="shared" ref="W7:W14" si="2">J7</f>
        <v>0</v>
      </c>
      <c r="X7" s="1503"/>
      <c r="Y7" s="3583" t="s">
        <v>522</v>
      </c>
      <c r="Z7" s="3584"/>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583" t="s">
        <v>525</v>
      </c>
      <c r="Q8" s="3584"/>
      <c r="R8" s="1501" t="s">
        <v>8</v>
      </c>
      <c r="S8" s="1502">
        <f t="shared" si="0"/>
        <v>0</v>
      </c>
      <c r="T8" s="1501" t="s">
        <v>8</v>
      </c>
      <c r="U8" s="1502">
        <f t="shared" si="1"/>
        <v>0</v>
      </c>
      <c r="V8" s="1501" t="s">
        <v>8</v>
      </c>
      <c r="W8" s="1502">
        <f t="shared" si="2"/>
        <v>0</v>
      </c>
      <c r="X8" s="1503"/>
      <c r="Y8" s="3583" t="s">
        <v>525</v>
      </c>
      <c r="Z8" s="3584"/>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91" t="s">
        <v>527</v>
      </c>
      <c r="Q9" s="1132" t="str">
        <f t="shared" ref="Q9:Q14" si="6">B9</f>
        <v>用途</v>
      </c>
      <c r="R9" s="1501" t="s">
        <v>8</v>
      </c>
      <c r="S9" s="1502">
        <f t="shared" si="0"/>
        <v>100</v>
      </c>
      <c r="T9" s="1501" t="s">
        <v>8</v>
      </c>
      <c r="U9" s="1502">
        <f t="shared" si="1"/>
        <v>100</v>
      </c>
      <c r="V9" s="1501" t="s">
        <v>8</v>
      </c>
      <c r="W9" s="1502">
        <f t="shared" si="2"/>
        <v>100</v>
      </c>
      <c r="X9" s="1503"/>
      <c r="Y9" s="354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91"/>
      <c r="Q10" s="1132" t="str">
        <f t="shared" si="6"/>
        <v>土地使用年限（年）</v>
      </c>
      <c r="R10" s="1501" t="s">
        <v>8</v>
      </c>
      <c r="S10" s="1502">
        <f t="shared" si="0"/>
        <v>100</v>
      </c>
      <c r="T10" s="1501" t="s">
        <v>8</v>
      </c>
      <c r="U10" s="1502">
        <f t="shared" si="1"/>
        <v>100</v>
      </c>
      <c r="V10" s="1501" t="s">
        <v>8</v>
      </c>
      <c r="W10" s="1502">
        <f t="shared" si="2"/>
        <v>100</v>
      </c>
      <c r="X10" s="1503"/>
      <c r="Y10" s="3542"/>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91"/>
      <c r="Q11" s="1132">
        <f t="shared" si="6"/>
        <v>111</v>
      </c>
      <c r="R11" s="1501" t="s">
        <v>8</v>
      </c>
      <c r="S11" s="1502">
        <f t="shared" si="0"/>
        <v>100</v>
      </c>
      <c r="T11" s="1501" t="s">
        <v>8</v>
      </c>
      <c r="U11" s="1502">
        <f t="shared" si="1"/>
        <v>100</v>
      </c>
      <c r="V11" s="1501" t="s">
        <v>8</v>
      </c>
      <c r="W11" s="1502">
        <f t="shared" si="2"/>
        <v>100</v>
      </c>
      <c r="X11" s="1503"/>
      <c r="Y11" s="3542"/>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91"/>
      <c r="Q12" s="1132">
        <f t="shared" si="6"/>
        <v>111</v>
      </c>
      <c r="R12" s="1501" t="s">
        <v>8</v>
      </c>
      <c r="S12" s="1502">
        <f t="shared" si="0"/>
        <v>100</v>
      </c>
      <c r="T12" s="1501" t="s">
        <v>8</v>
      </c>
      <c r="U12" s="1502">
        <f t="shared" si="1"/>
        <v>100</v>
      </c>
      <c r="V12" s="1501" t="s">
        <v>8</v>
      </c>
      <c r="W12" s="1502">
        <f t="shared" si="2"/>
        <v>100</v>
      </c>
      <c r="X12" s="1503"/>
      <c r="Y12" s="3542"/>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91"/>
      <c r="Q13" s="1132">
        <f t="shared" si="6"/>
        <v>111</v>
      </c>
      <c r="R13" s="1501" t="s">
        <v>8</v>
      </c>
      <c r="S13" s="1502">
        <f t="shared" si="0"/>
        <v>100</v>
      </c>
      <c r="T13" s="1501" t="s">
        <v>8</v>
      </c>
      <c r="U13" s="1502">
        <f t="shared" si="1"/>
        <v>100</v>
      </c>
      <c r="V13" s="1501" t="s">
        <v>8</v>
      </c>
      <c r="W13" s="1502">
        <f t="shared" si="2"/>
        <v>100</v>
      </c>
      <c r="X13" s="1503"/>
      <c r="Y13" s="3542"/>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593" t="s">
        <v>532</v>
      </c>
      <c r="Q14" s="1505" t="str">
        <f t="shared" si="6"/>
        <v>交通便捷度</v>
      </c>
      <c r="R14" s="1506" t="s">
        <v>8</v>
      </c>
      <c r="S14" s="1507">
        <f t="shared" si="0"/>
        <v>100</v>
      </c>
      <c r="T14" s="1506" t="s">
        <v>8</v>
      </c>
      <c r="U14" s="1507">
        <f t="shared" si="1"/>
        <v>100</v>
      </c>
      <c r="V14" s="1506" t="s">
        <v>8</v>
      </c>
      <c r="W14" s="1507">
        <f t="shared" si="2"/>
        <v>100</v>
      </c>
      <c r="X14" s="1500"/>
      <c r="Y14" s="3593"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594"/>
      <c r="Q15" s="1505"/>
      <c r="R15" s="1506"/>
      <c r="S15" s="1507"/>
      <c r="T15" s="1506"/>
      <c r="U15" s="1507"/>
      <c r="V15" s="1506"/>
      <c r="W15" s="1507"/>
      <c r="X15" s="1500"/>
      <c r="Y15" s="3594"/>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594"/>
      <c r="Q16" s="1505" t="str">
        <f>B16</f>
        <v>公共配套设施</v>
      </c>
      <c r="R16" s="1506" t="s">
        <v>8</v>
      </c>
      <c r="S16" s="1507">
        <f>F16</f>
        <v>100</v>
      </c>
      <c r="T16" s="1506" t="s">
        <v>8</v>
      </c>
      <c r="U16" s="1507">
        <f>H16</f>
        <v>100</v>
      </c>
      <c r="V16" s="1506" t="s">
        <v>8</v>
      </c>
      <c r="W16" s="1507">
        <f>J16</f>
        <v>100</v>
      </c>
      <c r="X16" s="1500"/>
      <c r="Y16" s="3594"/>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594"/>
      <c r="Q17" s="1505"/>
      <c r="R17" s="1506"/>
      <c r="S17" s="1507"/>
      <c r="T17" s="1506"/>
      <c r="U17" s="1507"/>
      <c r="V17" s="1506"/>
      <c r="W17" s="1507"/>
      <c r="X17" s="1500"/>
      <c r="Y17" s="3594"/>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594"/>
      <c r="Q18" s="2427" t="str">
        <f>B18</f>
        <v>基础设施水平</v>
      </c>
      <c r="R18" s="1506" t="s">
        <v>8</v>
      </c>
      <c r="S18" s="1507">
        <f>F18</f>
        <v>100</v>
      </c>
      <c r="T18" s="1506" t="s">
        <v>8</v>
      </c>
      <c r="U18" s="1507">
        <f>H18</f>
        <v>100</v>
      </c>
      <c r="V18" s="1506" t="s">
        <v>8</v>
      </c>
      <c r="W18" s="1507">
        <f>J18</f>
        <v>100</v>
      </c>
      <c r="X18" s="2429"/>
      <c r="Y18" s="3594"/>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594"/>
      <c r="Q19" s="2427"/>
      <c r="R19" s="1506"/>
      <c r="S19" s="1507"/>
      <c r="T19" s="1506"/>
      <c r="U19" s="1507"/>
      <c r="V19" s="1506"/>
      <c r="W19" s="1507"/>
      <c r="X19" s="2429"/>
      <c r="Y19" s="3594"/>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594"/>
      <c r="Q20" s="1505" t="str">
        <f>B20</f>
        <v>自然及人文环境</v>
      </c>
      <c r="R20" s="1506" t="s">
        <v>8</v>
      </c>
      <c r="S20" s="1507">
        <f>F20</f>
        <v>100</v>
      </c>
      <c r="T20" s="1506" t="s">
        <v>8</v>
      </c>
      <c r="U20" s="1507">
        <f>H20</f>
        <v>100</v>
      </c>
      <c r="V20" s="1506" t="s">
        <v>8</v>
      </c>
      <c r="W20" s="1507">
        <f>J20</f>
        <v>100</v>
      </c>
      <c r="X20" s="1500"/>
      <c r="Y20" s="3594"/>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594"/>
      <c r="Q21" s="1505"/>
      <c r="R21" s="1506"/>
      <c r="S21" s="1507"/>
      <c r="T21" s="1506"/>
      <c r="U21" s="1507"/>
      <c r="V21" s="1506"/>
      <c r="W21" s="1507"/>
      <c r="X21" s="1500"/>
      <c r="Y21" s="3594"/>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594"/>
      <c r="Q22" s="1505" t="str">
        <f>B22</f>
        <v>楼层</v>
      </c>
      <c r="R22" s="1506" t="s">
        <v>8</v>
      </c>
      <c r="S22" s="1507">
        <f>F22</f>
        <v>100</v>
      </c>
      <c r="T22" s="1506" t="s">
        <v>8</v>
      </c>
      <c r="U22" s="1507">
        <f>H22</f>
        <v>100</v>
      </c>
      <c r="V22" s="1506" t="s">
        <v>8</v>
      </c>
      <c r="W22" s="1507">
        <f>J22</f>
        <v>100</v>
      </c>
      <c r="X22" s="1500"/>
      <c r="Y22" s="3594"/>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594"/>
      <c r="Q23" s="1505">
        <f>B23</f>
        <v>111</v>
      </c>
      <c r="R23" s="1506" t="s">
        <v>8</v>
      </c>
      <c r="S23" s="1507">
        <f>F23</f>
        <v>100</v>
      </c>
      <c r="T23" s="1506" t="s">
        <v>8</v>
      </c>
      <c r="U23" s="1507">
        <f>H23</f>
        <v>100</v>
      </c>
      <c r="V23" s="1506" t="s">
        <v>8</v>
      </c>
      <c r="W23" s="1507">
        <f>J23</f>
        <v>100</v>
      </c>
      <c r="X23" s="1500"/>
      <c r="Y23" s="3594"/>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594"/>
      <c r="Q24" s="1505">
        <f t="shared" ref="Q24:Q36" si="11">B24</f>
        <v>111</v>
      </c>
      <c r="R24" s="1506" t="s">
        <v>8</v>
      </c>
      <c r="S24" s="1507">
        <f>F24</f>
        <v>100</v>
      </c>
      <c r="T24" s="1506" t="s">
        <v>8</v>
      </c>
      <c r="U24" s="1507">
        <f>H24</f>
        <v>100</v>
      </c>
      <c r="V24" s="1506" t="s">
        <v>8</v>
      </c>
      <c r="W24" s="1507">
        <f>J24</f>
        <v>100</v>
      </c>
      <c r="X24" s="1500"/>
      <c r="Y24" s="3594"/>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594"/>
      <c r="Q25" s="1132">
        <f t="shared" si="11"/>
        <v>111</v>
      </c>
      <c r="R25" s="1501" t="s">
        <v>8</v>
      </c>
      <c r="S25" s="1502">
        <f>F25</f>
        <v>100</v>
      </c>
      <c r="T25" s="1501" t="s">
        <v>8</v>
      </c>
      <c r="U25" s="1502">
        <f>H25</f>
        <v>100</v>
      </c>
      <c r="V25" s="1501" t="s">
        <v>8</v>
      </c>
      <c r="W25" s="1502">
        <f>J25</f>
        <v>100</v>
      </c>
      <c r="X25" s="1503"/>
      <c r="Y25" s="3594"/>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595"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96"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596"/>
      <c r="Q27" s="1534" t="str">
        <f t="shared" si="11"/>
        <v>项目停车位配比</v>
      </c>
      <c r="R27" s="1510" t="s">
        <v>8</v>
      </c>
      <c r="S27" s="1511">
        <f t="shared" si="12"/>
        <v>100</v>
      </c>
      <c r="T27" s="1510" t="s">
        <v>8</v>
      </c>
      <c r="U27" s="1511">
        <f t="shared" si="13"/>
        <v>100</v>
      </c>
      <c r="V27" s="1510" t="s">
        <v>8</v>
      </c>
      <c r="W27" s="1511">
        <f t="shared" si="14"/>
        <v>100</v>
      </c>
      <c r="X27" s="1512"/>
      <c r="Y27" s="3596"/>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596"/>
      <c r="Q28" s="1505" t="str">
        <f t="shared" si="11"/>
        <v>公共部分装修</v>
      </c>
      <c r="R28" s="1506" t="s">
        <v>8</v>
      </c>
      <c r="S28" s="1507">
        <f t="shared" si="12"/>
        <v>100</v>
      </c>
      <c r="T28" s="1506" t="s">
        <v>8</v>
      </c>
      <c r="U28" s="1507">
        <f t="shared" si="13"/>
        <v>100</v>
      </c>
      <c r="V28" s="1506" t="s">
        <v>8</v>
      </c>
      <c r="W28" s="1507">
        <f t="shared" si="14"/>
        <v>100</v>
      </c>
      <c r="X28" s="1500"/>
      <c r="Y28" s="3596"/>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596"/>
      <c r="Q29" s="1505" t="str">
        <f t="shared" si="11"/>
        <v>成新率</v>
      </c>
      <c r="R29" s="1506" t="s">
        <v>8</v>
      </c>
      <c r="S29" s="1507" t="e">
        <f t="shared" si="12"/>
        <v>#N/A</v>
      </c>
      <c r="T29" s="1506" t="s">
        <v>8</v>
      </c>
      <c r="U29" s="1507" t="e">
        <f t="shared" si="13"/>
        <v>#N/A</v>
      </c>
      <c r="V29" s="1506" t="s">
        <v>8</v>
      </c>
      <c r="W29" s="1507" t="e">
        <f t="shared" si="14"/>
        <v>#N/A</v>
      </c>
      <c r="X29" s="1500"/>
      <c r="Y29" s="3596"/>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596"/>
      <c r="Q30" s="1505" t="str">
        <f t="shared" si="11"/>
        <v>物业等级</v>
      </c>
      <c r="R30" s="1506" t="s">
        <v>8</v>
      </c>
      <c r="S30" s="1507">
        <f t="shared" si="12"/>
        <v>100</v>
      </c>
      <c r="T30" s="1506" t="s">
        <v>8</v>
      </c>
      <c r="U30" s="1507">
        <f t="shared" si="13"/>
        <v>100</v>
      </c>
      <c r="V30" s="1506" t="s">
        <v>8</v>
      </c>
      <c r="W30" s="1507">
        <f t="shared" si="14"/>
        <v>100</v>
      </c>
      <c r="X30" s="1500"/>
      <c r="Y30" s="3596"/>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596"/>
      <c r="Q31" s="1132" t="str">
        <f t="shared" si="11"/>
        <v>停车位面积</v>
      </c>
      <c r="R31" s="1501" t="s">
        <v>8</v>
      </c>
      <c r="S31" s="1502" t="e">
        <f t="shared" si="12"/>
        <v>#N/A</v>
      </c>
      <c r="T31" s="1501" t="s">
        <v>8</v>
      </c>
      <c r="U31" s="1502" t="e">
        <f t="shared" si="13"/>
        <v>#N/A</v>
      </c>
      <c r="V31" s="1501" t="s">
        <v>8</v>
      </c>
      <c r="W31" s="1502" t="e">
        <f t="shared" si="14"/>
        <v>#N/A</v>
      </c>
      <c r="X31" s="1503"/>
      <c r="Y31" s="3596"/>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596" t="s">
        <v>542</v>
      </c>
      <c r="Q32" s="1505" t="str">
        <f t="shared" si="11"/>
        <v>车位类型</v>
      </c>
      <c r="R32" s="1506" t="s">
        <v>8</v>
      </c>
      <c r="S32" s="1507">
        <f t="shared" si="12"/>
        <v>100</v>
      </c>
      <c r="T32" s="1506" t="s">
        <v>8</v>
      </c>
      <c r="U32" s="1507">
        <f t="shared" si="13"/>
        <v>100</v>
      </c>
      <c r="V32" s="1506" t="s">
        <v>8</v>
      </c>
      <c r="W32" s="1507">
        <f t="shared" si="14"/>
        <v>100</v>
      </c>
      <c r="X32" s="1500"/>
      <c r="Y32" s="3596"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596"/>
      <c r="Q33" s="1505" t="str">
        <f t="shared" si="11"/>
        <v>是否直接入户</v>
      </c>
      <c r="R33" s="1506" t="s">
        <v>8</v>
      </c>
      <c r="S33" s="1507">
        <f t="shared" si="12"/>
        <v>100</v>
      </c>
      <c r="T33" s="1506" t="s">
        <v>8</v>
      </c>
      <c r="U33" s="1507">
        <f t="shared" si="13"/>
        <v>100</v>
      </c>
      <c r="V33" s="1506" t="s">
        <v>8</v>
      </c>
      <c r="W33" s="1507">
        <f t="shared" si="14"/>
        <v>100</v>
      </c>
      <c r="X33" s="1500"/>
      <c r="Y33" s="3596"/>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596"/>
      <c r="Q34" s="1505">
        <f t="shared" si="11"/>
        <v>111</v>
      </c>
      <c r="R34" s="1506" t="s">
        <v>8</v>
      </c>
      <c r="S34" s="1507">
        <f t="shared" si="12"/>
        <v>100</v>
      </c>
      <c r="T34" s="1506" t="s">
        <v>8</v>
      </c>
      <c r="U34" s="1507">
        <f t="shared" si="13"/>
        <v>100</v>
      </c>
      <c r="V34" s="1506" t="s">
        <v>8</v>
      </c>
      <c r="W34" s="1507">
        <f t="shared" si="14"/>
        <v>100</v>
      </c>
      <c r="X34" s="1500"/>
      <c r="Y34" s="3596"/>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596"/>
      <c r="Q35" s="1534">
        <f t="shared" si="11"/>
        <v>111</v>
      </c>
      <c r="R35" s="1510" t="s">
        <v>8</v>
      </c>
      <c r="S35" s="1511">
        <f t="shared" si="12"/>
        <v>100</v>
      </c>
      <c r="T35" s="1510" t="s">
        <v>8</v>
      </c>
      <c r="U35" s="1511">
        <f t="shared" si="13"/>
        <v>100</v>
      </c>
      <c r="V35" s="1510" t="s">
        <v>8</v>
      </c>
      <c r="W35" s="1511">
        <f t="shared" si="14"/>
        <v>100</v>
      </c>
      <c r="X35" s="1512"/>
      <c r="Y35" s="3596"/>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596"/>
      <c r="Q36" s="1505">
        <f t="shared" si="11"/>
        <v>111</v>
      </c>
      <c r="R36" s="1506" t="s">
        <v>8</v>
      </c>
      <c r="S36" s="1507">
        <f t="shared" si="12"/>
        <v>100</v>
      </c>
      <c r="T36" s="1506" t="s">
        <v>8</v>
      </c>
      <c r="U36" s="1507">
        <f t="shared" si="13"/>
        <v>100</v>
      </c>
      <c r="V36" s="1506" t="s">
        <v>8</v>
      </c>
      <c r="W36" s="1507">
        <f t="shared" si="14"/>
        <v>100</v>
      </c>
      <c r="X36" s="1500"/>
      <c r="Y36" s="3596"/>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91" t="str">
        <f>A37</f>
        <v>成交单价</v>
      </c>
      <c r="Q37" s="3591"/>
      <c r="R37" s="3696">
        <f>E37</f>
        <v>0</v>
      </c>
      <c r="S37" s="3696"/>
      <c r="T37" s="3696">
        <f>G37</f>
        <v>0</v>
      </c>
      <c r="U37" s="3696"/>
      <c r="V37" s="3696">
        <f>I37</f>
        <v>0</v>
      </c>
      <c r="W37" s="3696"/>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91" t="str">
        <f>A38</f>
        <v>比较价格（元/平方米）</v>
      </c>
      <c r="Q38" s="3591"/>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612" t="str">
        <f>A39</f>
        <v>估价对象XX用房的比较价格（楼面单价，元/平方米）</v>
      </c>
      <c r="Q39" s="3613"/>
      <c r="R39" s="3695" t="e">
        <f>IF(F1="售价",ROUND(IF(D38="简单平均",AVERAGE(R38:W38),R38*F38+T38*H38+V38*J38),0),ROUND(IF(D38="简单平均",AVERAGE(R38:V38),R38*F38+T38*H38+V38*J38),1))</f>
        <v>#DIV/0!</v>
      </c>
      <c r="S39" s="3695"/>
      <c r="T39" s="3695"/>
      <c r="U39" s="3695"/>
      <c r="V39" s="3695"/>
      <c r="W39" s="3695"/>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7" t="s">
        <v>790</v>
      </c>
      <c r="D4" s="3598"/>
      <c r="E4" s="3622" t="s">
        <v>791</v>
      </c>
      <c r="F4" s="3623"/>
      <c r="G4" s="3597" t="s">
        <v>792</v>
      </c>
      <c r="H4" s="3598"/>
      <c r="I4" s="3597" t="s">
        <v>793</v>
      </c>
      <c r="J4" s="3598"/>
      <c r="K4" s="506" t="s">
        <v>794</v>
      </c>
      <c r="L4" s="2013"/>
      <c r="M4" s="2014"/>
      <c r="N4" s="2014"/>
      <c r="O4" s="2014"/>
      <c r="P4" s="3599" t="s">
        <v>795</v>
      </c>
      <c r="Q4" s="3600"/>
      <c r="R4" s="3585" t="s">
        <v>791</v>
      </c>
      <c r="S4" s="3586"/>
      <c r="T4" s="3585" t="s">
        <v>792</v>
      </c>
      <c r="U4" s="3586"/>
      <c r="V4" s="3605" t="s">
        <v>793</v>
      </c>
      <c r="W4" s="3605"/>
      <c r="X4" s="1500"/>
      <c r="Y4" s="3585" t="s">
        <v>795</v>
      </c>
      <c r="Z4" s="3586"/>
      <c r="AA4" s="3580" t="s">
        <v>791</v>
      </c>
      <c r="AB4" s="3581" t="s">
        <v>792</v>
      </c>
      <c r="AC4" s="3580" t="s">
        <v>793</v>
      </c>
    </row>
    <row r="5" spans="1:29" ht="15">
      <c r="A5" s="507"/>
      <c r="B5" s="508"/>
      <c r="C5" s="3608" t="s">
        <v>2892</v>
      </c>
      <c r="D5" s="3609"/>
      <c r="E5" s="3624" t="s">
        <v>2893</v>
      </c>
      <c r="F5" s="3625"/>
      <c r="G5" s="3608" t="s">
        <v>2894</v>
      </c>
      <c r="H5" s="3609"/>
      <c r="I5" s="3608" t="s">
        <v>2895</v>
      </c>
      <c r="J5" s="3609"/>
      <c r="K5" s="506"/>
      <c r="L5" s="2013"/>
      <c r="M5" s="2014"/>
      <c r="N5" s="2014"/>
      <c r="O5" s="2014"/>
      <c r="P5" s="3601"/>
      <c r="Q5" s="3602"/>
      <c r="R5" s="3587"/>
      <c r="S5" s="3588"/>
      <c r="T5" s="3587"/>
      <c r="U5" s="3588"/>
      <c r="V5" s="3605"/>
      <c r="W5" s="3605"/>
      <c r="X5" s="1500"/>
      <c r="Y5" s="3587"/>
      <c r="Z5" s="3588"/>
      <c r="AA5" s="3581"/>
      <c r="AB5" s="3581"/>
      <c r="AC5" s="3581"/>
    </row>
    <row r="6" spans="1:29" ht="15.75" thickBot="1">
      <c r="A6" s="509"/>
      <c r="B6" s="510"/>
      <c r="C6" s="3606" t="s">
        <v>2896</v>
      </c>
      <c r="D6" s="3607"/>
      <c r="E6" s="3626" t="s">
        <v>2896</v>
      </c>
      <c r="F6" s="3627"/>
      <c r="G6" s="3606" t="s">
        <v>2896</v>
      </c>
      <c r="H6" s="3607"/>
      <c r="I6" s="3606" t="s">
        <v>2896</v>
      </c>
      <c r="J6" s="3607"/>
      <c r="K6" s="506" t="s">
        <v>520</v>
      </c>
      <c r="L6" s="2013"/>
      <c r="M6" s="2014"/>
      <c r="N6" s="2014"/>
      <c r="O6" s="2014"/>
      <c r="P6" s="3603"/>
      <c r="Q6" s="3604"/>
      <c r="R6" s="3587"/>
      <c r="S6" s="3588"/>
      <c r="T6" s="3589"/>
      <c r="U6" s="3590"/>
      <c r="V6" s="3605"/>
      <c r="W6" s="3605"/>
      <c r="X6" s="1500"/>
      <c r="Y6" s="3589"/>
      <c r="Z6" s="3590"/>
      <c r="AA6" s="3582"/>
      <c r="AB6" s="3582"/>
      <c r="AC6" s="3582"/>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583" t="s">
        <v>522</v>
      </c>
      <c r="Q7" s="3592"/>
      <c r="R7" s="1501" t="s">
        <v>8</v>
      </c>
      <c r="S7" s="1502">
        <f t="shared" ref="S7:S14" si="0">F7</f>
        <v>0</v>
      </c>
      <c r="T7" s="1501" t="s">
        <v>8</v>
      </c>
      <c r="U7" s="1502">
        <f t="shared" ref="U7:U14" si="1">H7</f>
        <v>0</v>
      </c>
      <c r="V7" s="1501" t="s">
        <v>8</v>
      </c>
      <c r="W7" s="1502">
        <f t="shared" ref="W7:W14" si="2">J7</f>
        <v>0</v>
      </c>
      <c r="X7" s="1503"/>
      <c r="Y7" s="3583" t="s">
        <v>522</v>
      </c>
      <c r="Z7" s="3584"/>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583" t="s">
        <v>525</v>
      </c>
      <c r="Q8" s="3584"/>
      <c r="R8" s="1501" t="s">
        <v>8</v>
      </c>
      <c r="S8" s="1502">
        <f t="shared" si="0"/>
        <v>0</v>
      </c>
      <c r="T8" s="1501" t="s">
        <v>8</v>
      </c>
      <c r="U8" s="1502">
        <f t="shared" si="1"/>
        <v>0</v>
      </c>
      <c r="V8" s="1501" t="s">
        <v>8</v>
      </c>
      <c r="W8" s="1502">
        <f t="shared" si="2"/>
        <v>0</v>
      </c>
      <c r="X8" s="1503"/>
      <c r="Y8" s="3583" t="s">
        <v>525</v>
      </c>
      <c r="Z8" s="3584"/>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91" t="s">
        <v>527</v>
      </c>
      <c r="Q9" s="1132" t="str">
        <f t="shared" ref="Q9:Q14" si="6">B9</f>
        <v>用途</v>
      </c>
      <c r="R9" s="1501" t="s">
        <v>8</v>
      </c>
      <c r="S9" s="1502">
        <f t="shared" si="0"/>
        <v>100</v>
      </c>
      <c r="T9" s="1501" t="s">
        <v>8</v>
      </c>
      <c r="U9" s="1502">
        <f t="shared" si="1"/>
        <v>100</v>
      </c>
      <c r="V9" s="1501" t="s">
        <v>8</v>
      </c>
      <c r="W9" s="1502">
        <f t="shared" si="2"/>
        <v>100</v>
      </c>
      <c r="X9" s="1503"/>
      <c r="Y9" s="354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91"/>
      <c r="Q10" s="1132" t="str">
        <f t="shared" si="6"/>
        <v>土地使用年限（年）</v>
      </c>
      <c r="R10" s="1501" t="s">
        <v>8</v>
      </c>
      <c r="S10" s="1502">
        <f t="shared" si="0"/>
        <v>100</v>
      </c>
      <c r="T10" s="1501" t="s">
        <v>8</v>
      </c>
      <c r="U10" s="1502">
        <f t="shared" si="1"/>
        <v>100</v>
      </c>
      <c r="V10" s="1501" t="s">
        <v>8</v>
      </c>
      <c r="W10" s="1502">
        <f t="shared" si="2"/>
        <v>100</v>
      </c>
      <c r="X10" s="1503"/>
      <c r="Y10" s="3542"/>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91"/>
      <c r="Q11" s="1132">
        <f t="shared" si="6"/>
        <v>111</v>
      </c>
      <c r="R11" s="1501" t="s">
        <v>8</v>
      </c>
      <c r="S11" s="1502">
        <f t="shared" si="0"/>
        <v>100</v>
      </c>
      <c r="T11" s="1501" t="s">
        <v>8</v>
      </c>
      <c r="U11" s="1502">
        <f t="shared" si="1"/>
        <v>100</v>
      </c>
      <c r="V11" s="1501" t="s">
        <v>8</v>
      </c>
      <c r="W11" s="1502">
        <f t="shared" si="2"/>
        <v>100</v>
      </c>
      <c r="X11" s="1503"/>
      <c r="Y11" s="3542"/>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91"/>
      <c r="Q12" s="1132">
        <f t="shared" si="6"/>
        <v>111</v>
      </c>
      <c r="R12" s="1501" t="s">
        <v>8</v>
      </c>
      <c r="S12" s="1502">
        <f t="shared" si="0"/>
        <v>100</v>
      </c>
      <c r="T12" s="1501" t="s">
        <v>8</v>
      </c>
      <c r="U12" s="1502">
        <f t="shared" si="1"/>
        <v>100</v>
      </c>
      <c r="V12" s="1501" t="s">
        <v>8</v>
      </c>
      <c r="W12" s="1502">
        <f t="shared" si="2"/>
        <v>100</v>
      </c>
      <c r="X12" s="1503"/>
      <c r="Y12" s="3542"/>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91"/>
      <c r="Q13" s="1132">
        <f t="shared" si="6"/>
        <v>111</v>
      </c>
      <c r="R13" s="1501" t="s">
        <v>8</v>
      </c>
      <c r="S13" s="1502">
        <f t="shared" si="0"/>
        <v>100</v>
      </c>
      <c r="T13" s="1501" t="s">
        <v>8</v>
      </c>
      <c r="U13" s="1502">
        <f t="shared" si="1"/>
        <v>100</v>
      </c>
      <c r="V13" s="1501" t="s">
        <v>8</v>
      </c>
      <c r="W13" s="1502">
        <f t="shared" si="2"/>
        <v>100</v>
      </c>
      <c r="X13" s="1503"/>
      <c r="Y13" s="3542"/>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593" t="s">
        <v>532</v>
      </c>
      <c r="Q14" s="1505" t="str">
        <f t="shared" si="6"/>
        <v>交通便捷度</v>
      </c>
      <c r="R14" s="1506" t="s">
        <v>8</v>
      </c>
      <c r="S14" s="1507">
        <f t="shared" si="0"/>
        <v>100</v>
      </c>
      <c r="T14" s="1506" t="s">
        <v>8</v>
      </c>
      <c r="U14" s="1507">
        <f t="shared" si="1"/>
        <v>100</v>
      </c>
      <c r="V14" s="1506" t="s">
        <v>8</v>
      </c>
      <c r="W14" s="1507">
        <f t="shared" si="2"/>
        <v>100</v>
      </c>
      <c r="X14" s="1500"/>
      <c r="Y14" s="3593"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594"/>
      <c r="Q15" s="1505"/>
      <c r="R15" s="1506"/>
      <c r="S15" s="1507"/>
      <c r="T15" s="1506"/>
      <c r="U15" s="1507"/>
      <c r="V15" s="1506"/>
      <c r="W15" s="1507"/>
      <c r="X15" s="1500"/>
      <c r="Y15" s="3594"/>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594"/>
      <c r="Q16" s="1505" t="str">
        <f>B16</f>
        <v>公共配套设施</v>
      </c>
      <c r="R16" s="1506" t="s">
        <v>8</v>
      </c>
      <c r="S16" s="1507">
        <f>F16</f>
        <v>100</v>
      </c>
      <c r="T16" s="1506" t="s">
        <v>8</v>
      </c>
      <c r="U16" s="1507">
        <f>H16</f>
        <v>100</v>
      </c>
      <c r="V16" s="1506" t="s">
        <v>8</v>
      </c>
      <c r="W16" s="1507">
        <f>J16</f>
        <v>100</v>
      </c>
      <c r="X16" s="1500"/>
      <c r="Y16" s="3594"/>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594"/>
      <c r="Q17" s="1505"/>
      <c r="R17" s="1506"/>
      <c r="S17" s="1507"/>
      <c r="T17" s="1506"/>
      <c r="U17" s="1507"/>
      <c r="V17" s="1506"/>
      <c r="W17" s="1507"/>
      <c r="X17" s="1500"/>
      <c r="Y17" s="3594"/>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594"/>
      <c r="Q18" s="2427" t="str">
        <f>B18</f>
        <v>基础设施水平</v>
      </c>
      <c r="R18" s="1506" t="s">
        <v>8</v>
      </c>
      <c r="S18" s="1507">
        <f>F18</f>
        <v>100</v>
      </c>
      <c r="T18" s="1506" t="s">
        <v>8</v>
      </c>
      <c r="U18" s="1507">
        <f>H18</f>
        <v>100</v>
      </c>
      <c r="V18" s="1506" t="s">
        <v>8</v>
      </c>
      <c r="W18" s="1507">
        <f>J18</f>
        <v>100</v>
      </c>
      <c r="X18" s="2429"/>
      <c r="Y18" s="3594"/>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594"/>
      <c r="Q19" s="2427"/>
      <c r="R19" s="1506"/>
      <c r="S19" s="1507"/>
      <c r="T19" s="1506"/>
      <c r="U19" s="1507"/>
      <c r="V19" s="1506"/>
      <c r="W19" s="1507"/>
      <c r="X19" s="2429"/>
      <c r="Y19" s="3594"/>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594"/>
      <c r="Q20" s="1505" t="str">
        <f>B20</f>
        <v>自然及人文环境</v>
      </c>
      <c r="R20" s="1506" t="s">
        <v>8</v>
      </c>
      <c r="S20" s="1507">
        <f>F20</f>
        <v>100</v>
      </c>
      <c r="T20" s="1506" t="s">
        <v>8</v>
      </c>
      <c r="U20" s="1507">
        <f>H20</f>
        <v>100</v>
      </c>
      <c r="V20" s="1506" t="s">
        <v>8</v>
      </c>
      <c r="W20" s="1507">
        <f>J20</f>
        <v>100</v>
      </c>
      <c r="X20" s="1500"/>
      <c r="Y20" s="3594"/>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594"/>
      <c r="Q21" s="1505"/>
      <c r="R21" s="1506"/>
      <c r="S21" s="1507"/>
      <c r="T21" s="1506"/>
      <c r="U21" s="1507"/>
      <c r="V21" s="1506"/>
      <c r="W21" s="1507"/>
      <c r="X21" s="1500"/>
      <c r="Y21" s="3594"/>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594"/>
      <c r="Q22" s="1505" t="str">
        <f>B22</f>
        <v>楼层</v>
      </c>
      <c r="R22" s="1506" t="s">
        <v>8</v>
      </c>
      <c r="S22" s="1507">
        <f>F22</f>
        <v>100</v>
      </c>
      <c r="T22" s="1506" t="s">
        <v>8</v>
      </c>
      <c r="U22" s="1507">
        <f>H22</f>
        <v>100</v>
      </c>
      <c r="V22" s="1506" t="s">
        <v>8</v>
      </c>
      <c r="W22" s="1507">
        <f>J22</f>
        <v>100</v>
      </c>
      <c r="X22" s="1500"/>
      <c r="Y22" s="3594"/>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594"/>
      <c r="Q23" s="1505">
        <f>B23</f>
        <v>111</v>
      </c>
      <c r="R23" s="1506" t="s">
        <v>8</v>
      </c>
      <c r="S23" s="1507">
        <f>F23</f>
        <v>100</v>
      </c>
      <c r="T23" s="1506" t="s">
        <v>8</v>
      </c>
      <c r="U23" s="1507">
        <f>H23</f>
        <v>100</v>
      </c>
      <c r="V23" s="1506" t="s">
        <v>8</v>
      </c>
      <c r="W23" s="1507">
        <f>J23</f>
        <v>100</v>
      </c>
      <c r="X23" s="1500"/>
      <c r="Y23" s="3594"/>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594"/>
      <c r="Q24" s="1505">
        <f t="shared" ref="Q24:Q34" si="11">B24</f>
        <v>111</v>
      </c>
      <c r="R24" s="1506" t="s">
        <v>8</v>
      </c>
      <c r="S24" s="1507">
        <f>F24</f>
        <v>100</v>
      </c>
      <c r="T24" s="1506" t="s">
        <v>8</v>
      </c>
      <c r="U24" s="1507">
        <f>H24</f>
        <v>100</v>
      </c>
      <c r="V24" s="1506" t="s">
        <v>8</v>
      </c>
      <c r="W24" s="1507">
        <f>J24</f>
        <v>100</v>
      </c>
      <c r="X24" s="1500"/>
      <c r="Y24" s="3594"/>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594"/>
      <c r="Q25" s="1132">
        <f t="shared" si="11"/>
        <v>111</v>
      </c>
      <c r="R25" s="1501" t="s">
        <v>8</v>
      </c>
      <c r="S25" s="1502">
        <f>F25</f>
        <v>100</v>
      </c>
      <c r="T25" s="1501" t="s">
        <v>8</v>
      </c>
      <c r="U25" s="1502">
        <f>H25</f>
        <v>100</v>
      </c>
      <c r="V25" s="1501" t="s">
        <v>8</v>
      </c>
      <c r="W25" s="1502">
        <f>J25</f>
        <v>100</v>
      </c>
      <c r="X25" s="1503"/>
      <c r="Y25" s="3594"/>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595"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96"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596"/>
      <c r="Q27" s="1534" t="str">
        <f t="shared" si="11"/>
        <v>成新率</v>
      </c>
      <c r="R27" s="1510" t="s">
        <v>8</v>
      </c>
      <c r="S27" s="1511" t="e">
        <f t="shared" si="12"/>
        <v>#N/A</v>
      </c>
      <c r="T27" s="1510" t="s">
        <v>8</v>
      </c>
      <c r="U27" s="1511" t="e">
        <f t="shared" si="13"/>
        <v>#N/A</v>
      </c>
      <c r="V27" s="1510" t="s">
        <v>8</v>
      </c>
      <c r="W27" s="1511" t="e">
        <f t="shared" si="14"/>
        <v>#N/A</v>
      </c>
      <c r="X27" s="1512"/>
      <c r="Y27" s="3596"/>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596"/>
      <c r="Q28" s="1505" t="str">
        <f t="shared" si="11"/>
        <v>物业等级</v>
      </c>
      <c r="R28" s="1506" t="s">
        <v>8</v>
      </c>
      <c r="S28" s="1507">
        <f t="shared" si="12"/>
        <v>100</v>
      </c>
      <c r="T28" s="1506" t="s">
        <v>8</v>
      </c>
      <c r="U28" s="1507">
        <f t="shared" si="13"/>
        <v>100</v>
      </c>
      <c r="V28" s="1506" t="s">
        <v>8</v>
      </c>
      <c r="W28" s="1507">
        <f t="shared" si="14"/>
        <v>100</v>
      </c>
      <c r="X28" s="1500"/>
      <c r="Y28" s="3596"/>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596"/>
      <c r="Q29" s="1505" t="str">
        <f t="shared" si="11"/>
        <v>有无电梯</v>
      </c>
      <c r="R29" s="1506" t="s">
        <v>8</v>
      </c>
      <c r="S29" s="1507">
        <f t="shared" si="12"/>
        <v>100</v>
      </c>
      <c r="T29" s="1506" t="s">
        <v>8</v>
      </c>
      <c r="U29" s="1507">
        <f t="shared" si="13"/>
        <v>100</v>
      </c>
      <c r="V29" s="1506" t="s">
        <v>8</v>
      </c>
      <c r="W29" s="1507">
        <f t="shared" si="14"/>
        <v>100</v>
      </c>
      <c r="X29" s="1500"/>
      <c r="Y29" s="3596"/>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596"/>
      <c r="Q30" s="1505" t="str">
        <f t="shared" si="11"/>
        <v>建筑面积</v>
      </c>
      <c r="R30" s="1506" t="s">
        <v>8</v>
      </c>
      <c r="S30" s="1507" t="e">
        <f t="shared" si="12"/>
        <v>#N/A</v>
      </c>
      <c r="T30" s="1506" t="s">
        <v>8</v>
      </c>
      <c r="U30" s="1507" t="e">
        <f t="shared" si="13"/>
        <v>#N/A</v>
      </c>
      <c r="V30" s="1506" t="s">
        <v>8</v>
      </c>
      <c r="W30" s="1507" t="e">
        <f t="shared" si="14"/>
        <v>#N/A</v>
      </c>
      <c r="X30" s="1500"/>
      <c r="Y30" s="3596"/>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596"/>
      <c r="Q31" s="1132" t="str">
        <f t="shared" si="11"/>
        <v>是否封闭</v>
      </c>
      <c r="R31" s="1501" t="s">
        <v>8</v>
      </c>
      <c r="S31" s="1502">
        <f t="shared" si="12"/>
        <v>100</v>
      </c>
      <c r="T31" s="1501" t="s">
        <v>8</v>
      </c>
      <c r="U31" s="1502">
        <f t="shared" si="13"/>
        <v>100</v>
      </c>
      <c r="V31" s="1501" t="s">
        <v>8</v>
      </c>
      <c r="W31" s="1502">
        <f t="shared" si="14"/>
        <v>100</v>
      </c>
      <c r="X31" s="1503"/>
      <c r="Y31" s="3596"/>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596" t="s">
        <v>542</v>
      </c>
      <c r="Q32" s="1505">
        <f t="shared" si="11"/>
        <v>111</v>
      </c>
      <c r="R32" s="1506" t="s">
        <v>8</v>
      </c>
      <c r="S32" s="1507">
        <f t="shared" si="12"/>
        <v>100</v>
      </c>
      <c r="T32" s="1506" t="s">
        <v>8</v>
      </c>
      <c r="U32" s="1507">
        <f t="shared" si="13"/>
        <v>100</v>
      </c>
      <c r="V32" s="1506" t="s">
        <v>8</v>
      </c>
      <c r="W32" s="1507">
        <f t="shared" si="14"/>
        <v>100</v>
      </c>
      <c r="X32" s="1500"/>
      <c r="Y32" s="3596"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596"/>
      <c r="Q33" s="1505">
        <f t="shared" si="11"/>
        <v>111</v>
      </c>
      <c r="R33" s="1506" t="s">
        <v>8</v>
      </c>
      <c r="S33" s="1507">
        <f t="shared" si="12"/>
        <v>100</v>
      </c>
      <c r="T33" s="1506" t="s">
        <v>8</v>
      </c>
      <c r="U33" s="1507">
        <f t="shared" si="13"/>
        <v>100</v>
      </c>
      <c r="V33" s="1506" t="s">
        <v>8</v>
      </c>
      <c r="W33" s="1507">
        <f t="shared" si="14"/>
        <v>100</v>
      </c>
      <c r="X33" s="1500"/>
      <c r="Y33" s="3596"/>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596"/>
      <c r="Q34" s="1505">
        <f t="shared" si="11"/>
        <v>111</v>
      </c>
      <c r="R34" s="1506" t="s">
        <v>8</v>
      </c>
      <c r="S34" s="1507">
        <f t="shared" si="12"/>
        <v>100</v>
      </c>
      <c r="T34" s="1506" t="s">
        <v>8</v>
      </c>
      <c r="U34" s="1507">
        <f t="shared" si="13"/>
        <v>100</v>
      </c>
      <c r="V34" s="1506" t="s">
        <v>8</v>
      </c>
      <c r="W34" s="1507">
        <f t="shared" si="14"/>
        <v>100</v>
      </c>
      <c r="X34" s="1500"/>
      <c r="Y34" s="3596"/>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91" t="str">
        <f>A35</f>
        <v>成交单价（元/平方米）</v>
      </c>
      <c r="Q35" s="3591"/>
      <c r="R35" s="3696">
        <f>E35</f>
        <v>0</v>
      </c>
      <c r="S35" s="3696"/>
      <c r="T35" s="3696">
        <f>G35</f>
        <v>0</v>
      </c>
      <c r="U35" s="3696"/>
      <c r="V35" s="3696">
        <f>I35</f>
        <v>0</v>
      </c>
      <c r="W35" s="3696"/>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91" t="str">
        <f>A36</f>
        <v>比较价格（元/平方米）</v>
      </c>
      <c r="Q36" s="3591"/>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612" t="str">
        <f>A37</f>
        <v>估价对象XX用房的比较价格（楼面单价，元/平方米）</v>
      </c>
      <c r="Q37" s="3613"/>
      <c r="R37" s="3695" t="e">
        <f>IF(F1="售价",ROUND(IF(D36="简单平均",AVERAGE(R36:W36),R36*F36+T36*H36+V36*J36),0),ROUND(IF(D36="简单平均",AVERAGE(R36:V36),R36*F36+T36*H36+V36*J36),1))</f>
        <v>#DIV/0!</v>
      </c>
      <c r="S37" s="3695"/>
      <c r="T37" s="3695"/>
      <c r="U37" s="3695"/>
      <c r="V37" s="3695"/>
      <c r="W37" s="3695"/>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9" t="s">
        <v>2024</v>
      </c>
      <c r="B1" s="3399"/>
      <c r="C1" s="3399"/>
      <c r="D1" s="3399"/>
      <c r="E1" s="3399"/>
      <c r="F1" s="3399"/>
      <c r="G1" s="3399"/>
      <c r="H1" s="3399"/>
      <c r="I1" s="3399"/>
      <c r="J1" s="3399"/>
      <c r="K1" s="3399"/>
      <c r="L1" s="3399"/>
      <c r="M1" s="3399"/>
      <c r="N1" s="3399"/>
      <c r="O1" s="3399"/>
      <c r="P1" s="3399"/>
      <c r="Q1" s="3399"/>
      <c r="R1" s="3399"/>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0" t="s">
        <v>2015</v>
      </c>
      <c r="B3" s="3400" t="s">
        <v>2709</v>
      </c>
      <c r="C3" s="3401" t="s">
        <v>2016</v>
      </c>
      <c r="D3" s="3400" t="s">
        <v>2713</v>
      </c>
      <c r="E3" s="3403" t="s">
        <v>2017</v>
      </c>
      <c r="F3" s="3403"/>
      <c r="G3" s="3403"/>
      <c r="H3" s="3403" t="s">
        <v>2018</v>
      </c>
      <c r="I3" s="3403"/>
      <c r="J3" s="3403"/>
      <c r="K3" s="3401" t="s">
        <v>2019</v>
      </c>
      <c r="L3" s="3401" t="s">
        <v>2020</v>
      </c>
      <c r="M3" s="3400" t="s">
        <v>2710</v>
      </c>
      <c r="N3" s="3402" t="str">
        <f>"（分摊）"&amp;项目基本情况!B16&amp;"国有建设用地使用权面积/㎡"</f>
        <v>（分摊）国有建设用地使用权面积/㎡</v>
      </c>
      <c r="O3" s="3400" t="s">
        <v>2049</v>
      </c>
      <c r="P3" s="3401" t="s">
        <v>2029</v>
      </c>
      <c r="Q3" s="3401" t="s">
        <v>2050</v>
      </c>
      <c r="R3" s="3401" t="s">
        <v>2021</v>
      </c>
    </row>
    <row r="4" spans="1:18" ht="36.75" customHeight="1">
      <c r="A4" s="3400"/>
      <c r="B4" s="3400"/>
      <c r="C4" s="3401"/>
      <c r="D4" s="3400"/>
      <c r="E4" s="2489" t="s">
        <v>2028</v>
      </c>
      <c r="F4" s="2489" t="s">
        <v>2722</v>
      </c>
      <c r="G4" s="2489" t="s">
        <v>2022</v>
      </c>
      <c r="H4" s="2489" t="s">
        <v>2023</v>
      </c>
      <c r="I4" s="2489" t="s">
        <v>2723</v>
      </c>
      <c r="J4" s="2489" t="s">
        <v>2022</v>
      </c>
      <c r="K4" s="3401"/>
      <c r="L4" s="3401"/>
      <c r="M4" s="3400"/>
      <c r="N4" s="3402"/>
      <c r="O4" s="3400"/>
      <c r="P4" s="3401"/>
      <c r="Q4" s="3401"/>
      <c r="R4" s="3401"/>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36234</v>
      </c>
      <c r="Q5" s="1723">
        <f ca="1">结果表!D42</f>
        <v>6470</v>
      </c>
      <c r="R5" s="1724">
        <f ca="1">结果表!C42</f>
        <v>19931</v>
      </c>
    </row>
    <row r="6" spans="1:18">
      <c r="A6" s="3404" t="str">
        <f>IF(项目基本情况!B9="市场价格","——","抵押价格")</f>
        <v>抵押价格</v>
      </c>
      <c r="B6" s="3405"/>
      <c r="C6" s="3405"/>
      <c r="D6" s="3405"/>
      <c r="E6" s="3405"/>
      <c r="F6" s="3405"/>
      <c r="G6" s="3405"/>
      <c r="H6" s="3405"/>
      <c r="I6" s="3405"/>
      <c r="J6" s="3405"/>
      <c r="K6" s="3405"/>
      <c r="L6" s="3405"/>
      <c r="M6" s="3405"/>
      <c r="N6" s="3405"/>
      <c r="O6" s="3405"/>
      <c r="P6" s="3405"/>
      <c r="Q6" s="3406"/>
      <c r="R6" s="1725" t="str">
        <f>结果表!O39</f>
        <v>——</v>
      </c>
    </row>
    <row r="7" spans="1:18">
      <c r="A7" s="3404" t="str">
        <f>IF(项目基本情况!B9="市场价格","——",IF(项目基本情况!E8="已注销及未注销","抵押担保权已注销时的抵押价格","——"))</f>
        <v>——</v>
      </c>
      <c r="B7" s="3405"/>
      <c r="C7" s="3405"/>
      <c r="D7" s="3405"/>
      <c r="E7" s="3405"/>
      <c r="F7" s="3405"/>
      <c r="G7" s="3405"/>
      <c r="H7" s="3405"/>
      <c r="I7" s="3405"/>
      <c r="J7" s="3405"/>
      <c r="K7" s="3405"/>
      <c r="L7" s="3405"/>
      <c r="M7" s="3405"/>
      <c r="N7" s="3405"/>
      <c r="O7" s="3405"/>
      <c r="P7" s="3405"/>
      <c r="Q7" s="3406"/>
      <c r="R7" s="1725" t="str">
        <f>结果表!O40</f>
        <v>——</v>
      </c>
    </row>
    <row r="8" spans="1:18">
      <c r="A8" s="3404">
        <f>IF(项目基本情况!B9="市场价格","——",项目基本情况!E9)</f>
        <v>0</v>
      </c>
      <c r="B8" s="3405"/>
      <c r="C8" s="3405"/>
      <c r="D8" s="3405"/>
      <c r="E8" s="3405"/>
      <c r="F8" s="3405"/>
      <c r="G8" s="3405"/>
      <c r="H8" s="3405"/>
      <c r="I8" s="3405"/>
      <c r="J8" s="3405"/>
      <c r="K8" s="3405"/>
      <c r="L8" s="3405"/>
      <c r="M8" s="3405"/>
      <c r="N8" s="3405"/>
      <c r="O8" s="3405"/>
      <c r="P8" s="3405"/>
      <c r="Q8" s="3406"/>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08" t="s">
        <v>2289</v>
      </c>
      <c r="D1" s="3709"/>
      <c r="E1" s="3709"/>
      <c r="F1" s="3709"/>
      <c r="G1" s="3709"/>
      <c r="H1" s="3709"/>
      <c r="I1" s="3709"/>
      <c r="J1" s="3709"/>
      <c r="K1" s="3709"/>
      <c r="L1" s="3709"/>
      <c r="M1" s="3709"/>
      <c r="N1" s="3709"/>
      <c r="O1" s="3709"/>
      <c r="P1" s="3709"/>
      <c r="Q1" s="3709"/>
      <c r="R1" s="3709"/>
      <c r="S1" s="3710"/>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5" t="s">
        <v>20</v>
      </c>
      <c r="D22" s="3706"/>
      <c r="E22" s="3706"/>
      <c r="F22" s="3706"/>
      <c r="G22" s="3706"/>
      <c r="H22" s="3706"/>
      <c r="I22" s="3706"/>
      <c r="J22" s="3706"/>
      <c r="K22" s="3706"/>
      <c r="L22" s="3706"/>
      <c r="M22" s="3706"/>
      <c r="N22" s="3706"/>
      <c r="O22" s="3706"/>
      <c r="P22" s="3706"/>
      <c r="Q22" s="3707"/>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07" t="s">
        <v>2051</v>
      </c>
      <c r="B1" s="3407"/>
      <c r="C1" s="3407"/>
      <c r="D1" s="3407"/>
    </row>
    <row r="2" spans="1:4" ht="47.25" customHeight="1">
      <c r="A2" s="3411" t="str">
        <f>"1.权利限制："&amp;项目基本情况!L24&amp;"未设定租赁等其他他项权利。"</f>
        <v>1.权利限制：根据估价对象《不动产权证书》原件、《国有土地使用权》复印件，截至估价期日，估价对象抵押权未见登记。未设定租赁等其他他项权利。</v>
      </c>
      <c r="B2" s="3411"/>
      <c r="C2" s="3411"/>
      <c r="D2" s="3411"/>
    </row>
    <row r="3" spans="1:4" ht="48" customHeight="1">
      <c r="A3" s="34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7"/>
      <c r="C3" s="3407"/>
      <c r="D3" s="3407"/>
    </row>
    <row r="4" spans="1:4" ht="36.75" customHeight="1">
      <c r="A4" s="3407" t="str">
        <f>"3.估价规划限制条件：详见"&amp;项目基本情况!E21&amp;"。"</f>
        <v>3.估价规划限制条件：详见《建设工程规划许可证》[]、《出让合同》[]。</v>
      </c>
      <c r="B4" s="3407"/>
      <c r="C4" s="3407"/>
      <c r="D4" s="3407"/>
    </row>
    <row r="5" spans="1:4">
      <c r="A5" s="3410" t="s">
        <v>2052</v>
      </c>
      <c r="B5" s="3410"/>
      <c r="C5" s="3410"/>
      <c r="D5" s="3410"/>
    </row>
    <row r="6" spans="1:4">
      <c r="A6" s="3407" t="s">
        <v>2030</v>
      </c>
      <c r="B6" s="3407"/>
      <c r="C6" s="3407"/>
      <c r="D6" s="3407"/>
    </row>
    <row r="7" spans="1:4" ht="33" customHeight="1">
      <c r="A7" s="3407" t="s">
        <v>2553</v>
      </c>
      <c r="B7" s="3407"/>
      <c r="C7" s="3407"/>
      <c r="D7" s="3407"/>
    </row>
    <row r="8" spans="1:4" ht="32.25" customHeight="1">
      <c r="A8" s="34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7"/>
      <c r="C8" s="3407"/>
      <c r="D8" s="3407"/>
    </row>
    <row r="9" spans="1:4" ht="33.75" customHeight="1">
      <c r="A9" s="3407" t="str">
        <f>IF(项目基本情况!B8="抵押","3.抵押双方在办理抵押登记手续时，应使用本公司出具的正式《土地估价报告》，特提请报告使用者注意。","——")</f>
        <v>——</v>
      </c>
      <c r="B9" s="3407"/>
      <c r="C9" s="3407"/>
      <c r="D9" s="3407"/>
    </row>
    <row r="10" spans="1:4">
      <c r="A10" s="3407" t="str">
        <f>IF(项目基本情况!B8="抵押","4.估价师所知悉的法定优先受偿款情况为：","——")</f>
        <v>——</v>
      </c>
      <c r="B10" s="3407"/>
      <c r="C10" s="3407"/>
      <c r="D10" s="3407"/>
    </row>
    <row r="11" spans="1:4" ht="37.5" customHeight="1">
      <c r="A11" s="3409" t="str">
        <f>IF(项目基本情况!B8="抵押","（1）"&amp;CONCATENATE(项目基本情况!L24,项目基本情况!L25,项目基本情况!L26),"——")</f>
        <v>——</v>
      </c>
      <c r="B11" s="3409"/>
      <c r="C11" s="3409"/>
      <c r="D11" s="3409"/>
    </row>
    <row r="12" spans="1:4" ht="168" customHeight="1">
      <c r="A12" s="3410" t="s">
        <v>2054</v>
      </c>
      <c r="B12" s="3410"/>
      <c r="C12" s="3410"/>
      <c r="D12" s="3410"/>
    </row>
    <row r="13" spans="1:4">
      <c r="A13" s="3408" t="s">
        <v>2724</v>
      </c>
      <c r="B13" s="3408"/>
      <c r="C13" s="3408"/>
      <c r="D13" s="3408"/>
    </row>
    <row r="14" spans="1:4">
      <c r="A14" s="3409" t="str">
        <f>IF(项目基本情况!B8="抵押","综上，"&amp;结果表!K47,"——")</f>
        <v>——</v>
      </c>
      <c r="B14" s="3409"/>
      <c r="C14" s="3409"/>
      <c r="D14" s="3409"/>
    </row>
    <row r="15" spans="1:4" ht="58.5" customHeight="1">
      <c r="A15" s="34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7"/>
      <c r="C15" s="3407"/>
      <c r="D15" s="3407"/>
    </row>
    <row r="16" spans="1:4" ht="70.5" customHeight="1">
      <c r="A16" s="34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7"/>
      <c r="C16" s="3407"/>
      <c r="D16" s="3407"/>
    </row>
    <row r="17" spans="1:4">
      <c r="A17" s="3407" t="s">
        <v>2680</v>
      </c>
      <c r="B17" s="3407"/>
      <c r="C17" s="3407"/>
      <c r="D17" s="3407"/>
    </row>
    <row r="18" spans="1:4">
      <c r="A18" s="3407" t="s">
        <v>2672</v>
      </c>
      <c r="B18" s="3407"/>
      <c r="C18" s="3407"/>
      <c r="D18" s="3407"/>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07" t="s">
        <v>2677</v>
      </c>
      <c r="B23" s="3407"/>
      <c r="C23" s="3407"/>
      <c r="D23" s="3407"/>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19" t="s">
        <v>53</v>
      </c>
      <c r="B15" s="3420" t="s">
        <v>836</v>
      </c>
      <c r="C15" s="3416"/>
    </row>
    <row r="16" spans="1:7" ht="14.25">
      <c r="A16" s="3419"/>
      <c r="B16" s="3417" t="s">
        <v>54</v>
      </c>
      <c r="C16" s="1153" t="s">
        <v>53</v>
      </c>
    </row>
    <row r="17" spans="1:3" ht="14.25">
      <c r="A17" s="3419"/>
      <c r="B17" s="3417"/>
      <c r="C17" s="1153" t="s">
        <v>55</v>
      </c>
    </row>
    <row r="18" spans="1:3" ht="14.25">
      <c r="A18" s="3419"/>
      <c r="B18" s="3417"/>
      <c r="C18" s="1153" t="s">
        <v>56</v>
      </c>
    </row>
    <row r="19" spans="1:3" ht="14.25">
      <c r="A19" s="3419"/>
      <c r="B19" s="3415" t="s">
        <v>57</v>
      </c>
      <c r="C19" s="3416"/>
    </row>
    <row r="20" spans="1:3" ht="14.25">
      <c r="A20" s="1154" t="s">
        <v>58</v>
      </c>
      <c r="B20" s="1155"/>
      <c r="C20" s="1156"/>
    </row>
    <row r="21" spans="1:3" ht="14.25">
      <c r="A21" s="3418" t="s">
        <v>59</v>
      </c>
      <c r="B21" s="3415" t="s">
        <v>60</v>
      </c>
      <c r="C21" s="3416"/>
    </row>
    <row r="22" spans="1:3" ht="14.25">
      <c r="A22" s="3418"/>
      <c r="B22" s="3415" t="s">
        <v>61</v>
      </c>
      <c r="C22" s="3416"/>
    </row>
    <row r="23" spans="1:3" ht="14.25">
      <c r="A23" s="3418"/>
      <c r="B23" s="3415" t="s">
        <v>62</v>
      </c>
      <c r="C23" s="3416"/>
    </row>
    <row r="24" spans="1:3" ht="14.25">
      <c r="A24" s="3418"/>
      <c r="B24" s="3421" t="s">
        <v>63</v>
      </c>
      <c r="C24" s="1157" t="s">
        <v>827</v>
      </c>
    </row>
    <row r="25" spans="1:3" ht="14.25">
      <c r="A25" s="3418"/>
      <c r="B25" s="3422"/>
      <c r="C25" s="1157" t="s">
        <v>828</v>
      </c>
    </row>
    <row r="26" spans="1:3" ht="14.25">
      <c r="A26" s="3418"/>
      <c r="B26" s="3422"/>
      <c r="C26" s="1157" t="s">
        <v>829</v>
      </c>
    </row>
    <row r="27" spans="1:3" ht="14.25">
      <c r="A27" s="3418"/>
      <c r="B27" s="3422"/>
      <c r="C27" s="1157" t="s">
        <v>830</v>
      </c>
    </row>
    <row r="28" spans="1:3" ht="14.25">
      <c r="A28" s="3418"/>
      <c r="B28" s="3422"/>
      <c r="C28" s="1157" t="s">
        <v>831</v>
      </c>
    </row>
    <row r="29" spans="1:3" ht="14.25">
      <c r="A29" s="3418"/>
      <c r="B29" s="3422"/>
      <c r="C29" s="1157" t="s">
        <v>832</v>
      </c>
    </row>
    <row r="30" spans="1:3" ht="14.25">
      <c r="A30" s="3418"/>
      <c r="B30" s="3422"/>
      <c r="C30" s="1157" t="s">
        <v>833</v>
      </c>
    </row>
    <row r="31" spans="1:3" ht="14.25">
      <c r="A31" s="3418"/>
      <c r="B31" s="3422"/>
      <c r="C31" s="1157" t="s">
        <v>834</v>
      </c>
    </row>
    <row r="32" spans="1:3" ht="14.25">
      <c r="A32" s="3418"/>
      <c r="B32" s="3422"/>
      <c r="C32" s="1157" t="s">
        <v>1634</v>
      </c>
    </row>
    <row r="33" spans="1:3" ht="14.25">
      <c r="A33" s="3418"/>
      <c r="B33" s="3412" t="s">
        <v>1640</v>
      </c>
      <c r="C33" s="1157" t="s">
        <v>1635</v>
      </c>
    </row>
    <row r="34" spans="1:3" ht="14.25">
      <c r="A34" s="3418"/>
      <c r="B34" s="3413"/>
      <c r="C34" s="1162" t="s">
        <v>1636</v>
      </c>
    </row>
    <row r="35" spans="1:3" ht="14.25">
      <c r="A35" s="3418"/>
      <c r="B35" s="3413"/>
      <c r="C35" s="1163" t="s">
        <v>1637</v>
      </c>
    </row>
    <row r="36" spans="1:3" ht="14.25">
      <c r="A36" s="3418"/>
      <c r="B36" s="3413"/>
      <c r="C36" s="1163" t="s">
        <v>1638</v>
      </c>
    </row>
    <row r="37" spans="1:3" ht="14.25">
      <c r="A37" s="3418"/>
      <c r="B37" s="3414"/>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44422</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6" t="s">
        <v>1912</v>
      </c>
      <c r="B17" s="3427"/>
      <c r="C17" s="3427"/>
      <c r="D17" s="3427"/>
      <c r="E17" s="3427"/>
      <c r="F17" s="3427"/>
      <c r="G17" s="3032"/>
    </row>
    <row r="18" spans="1:7" ht="20.25" customHeight="1">
      <c r="A18" s="3423" t="s">
        <v>1913</v>
      </c>
      <c r="B18" s="3423"/>
      <c r="C18" s="3424"/>
      <c r="D18" s="3425" t="s">
        <v>1914</v>
      </c>
      <c r="E18" s="3423"/>
      <c r="F18" s="3423"/>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28"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28"/>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28"/>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28"/>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28"/>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2021-08-14T13:23:52Z</dcterms:modified>
</cp:coreProperties>
</file>