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45" windowWidth="14430" windowHeight="11985" tabRatio="899"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state="hidden"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G49" i="43" l="1"/>
  <c r="G50" i="43"/>
  <c r="G51" i="43"/>
  <c r="G52" i="43"/>
  <c r="G53" i="43"/>
  <c r="G54" i="43"/>
  <c r="G55" i="43"/>
  <c r="G56" i="43"/>
  <c r="G48" i="43"/>
  <c r="A6" i="1"/>
  <c r="G1" i="15"/>
  <c r="I3" i="66"/>
  <c r="I4" i="66"/>
  <c r="I5" i="66"/>
  <c r="I6" i="66"/>
  <c r="I7" i="66"/>
  <c r="I8" i="66"/>
  <c r="I9" i="66"/>
  <c r="I10" i="66"/>
  <c r="C28" i="66"/>
  <c r="I12" i="66"/>
  <c r="I13" i="66"/>
  <c r="I14" i="66"/>
  <c r="I15" i="66"/>
  <c r="I17" i="66"/>
  <c r="I18" i="66"/>
  <c r="I19" i="66"/>
  <c r="I20" i="66"/>
  <c r="I21" i="66"/>
  <c r="C29" i="66"/>
  <c r="C27" i="66"/>
  <c r="C30" i="66"/>
  <c r="C31" i="66"/>
  <c r="C32" i="66"/>
  <c r="E26" i="66"/>
  <c r="U6" i="1"/>
  <c r="F6" i="15"/>
  <c r="F3" i="78"/>
  <c r="F4" i="78"/>
  <c r="F5" i="78"/>
  <c r="F6" i="78"/>
  <c r="F7" i="78"/>
  <c r="F8" i="78"/>
  <c r="F9" i="78"/>
  <c r="F10" i="78"/>
  <c r="F11" i="78"/>
  <c r="F12" i="78"/>
  <c r="F13" i="78"/>
  <c r="F14" i="78"/>
  <c r="F15" i="78"/>
  <c r="F17" i="78"/>
  <c r="F18" i="78"/>
  <c r="F19" i="78"/>
  <c r="I13" i="3"/>
  <c r="F19"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D10" i="3"/>
  <c r="BE10" i="3"/>
  <c r="BF10" i="3"/>
  <c r="BG10" i="3"/>
  <c r="BH10" i="3"/>
  <c r="BI10" i="3"/>
  <c r="BJ10" i="3"/>
  <c r="BK10" i="3"/>
  <c r="K13"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P6" i="15"/>
  <c r="F21" i="78"/>
  <c r="F22" i="78"/>
  <c r="F23" i="78"/>
  <c r="F24" i="78"/>
  <c r="E15" i="4"/>
  <c r="N6" i="1"/>
  <c r="Y6" i="1"/>
  <c r="G19" i="6"/>
  <c r="L19" i="1"/>
  <c r="D29" i="43"/>
  <c r="D39" i="43"/>
  <c r="D1" i="43"/>
  <c r="L20" i="1"/>
  <c r="AH5" i="71"/>
  <c r="AG5" i="71"/>
  <c r="AE5" i="71"/>
  <c r="AF5" i="71"/>
  <c r="AD5" i="71"/>
  <c r="Q5" i="71"/>
  <c r="Q6" i="71"/>
  <c r="P5" i="71"/>
  <c r="P6" i="71"/>
  <c r="O5" i="71"/>
  <c r="O6" i="71"/>
  <c r="N5" i="71"/>
  <c r="N6" i="71"/>
  <c r="AH6" i="71"/>
  <c r="AG6" i="71"/>
  <c r="AE6" i="71"/>
  <c r="AF6" i="71"/>
  <c r="AD6" i="71"/>
  <c r="Q7" i="71"/>
  <c r="Q8" i="71"/>
  <c r="P7" i="71"/>
  <c r="P8" i="71"/>
  <c r="O7" i="71"/>
  <c r="O8" i="71"/>
  <c r="N7" i="71"/>
  <c r="N8"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O10" i="71"/>
  <c r="O11" i="71"/>
  <c r="N10" i="71"/>
  <c r="N11" i="71"/>
  <c r="N12" i="71"/>
  <c r="AH11" i="71"/>
  <c r="AG11" i="71"/>
  <c r="AE11" i="71"/>
  <c r="AF11" i="71"/>
  <c r="AD11" i="71"/>
  <c r="Q12" i="71"/>
  <c r="P12" i="71"/>
  <c r="O12" i="71"/>
  <c r="O26" i="71"/>
  <c r="C27" i="71"/>
  <c r="O27" i="71"/>
  <c r="C28" i="71"/>
  <c r="O28" i="71"/>
  <c r="C29" i="71"/>
  <c r="M19" i="43"/>
  <c r="D14" i="71"/>
  <c r="AH12" i="71"/>
  <c r="AG12" i="71"/>
  <c r="AE12" i="71"/>
  <c r="AF12" i="71"/>
  <c r="AD12" i="71"/>
  <c r="AD13" i="71"/>
  <c r="AG13" i="71"/>
  <c r="AH13" i="71"/>
  <c r="AE13" i="71"/>
  <c r="AF13" i="71"/>
  <c r="N13" i="71"/>
  <c r="Q13" i="71"/>
  <c r="P13" i="71"/>
  <c r="P14" i="71"/>
  <c r="P15" i="71"/>
  <c r="P16" i="71"/>
  <c r="P17" i="71"/>
  <c r="P18" i="71"/>
  <c r="P19" i="71"/>
  <c r="P20" i="71"/>
  <c r="P21" i="71"/>
  <c r="P22" i="71"/>
  <c r="P23" i="71"/>
  <c r="P24" i="71"/>
  <c r="P25" i="71"/>
  <c r="P26" i="71"/>
  <c r="P27" i="71"/>
  <c r="P28" i="71"/>
  <c r="AA12" i="71"/>
  <c r="O13" i="71"/>
  <c r="C13" i="71"/>
  <c r="C12" i="71"/>
  <c r="Q14" i="71"/>
  <c r="F13" i="71"/>
  <c r="F12" i="71"/>
  <c r="F11" i="71"/>
  <c r="E13" i="71"/>
  <c r="E12" i="71"/>
  <c r="E11" i="71"/>
  <c r="O14" i="71"/>
  <c r="N14" i="71"/>
  <c r="B13" i="71"/>
  <c r="A2" i="53"/>
  <c r="K59" i="67"/>
  <c r="P61" i="67"/>
  <c r="K59" i="15"/>
  <c r="D116" i="39"/>
  <c r="E116" i="39"/>
  <c r="F116" i="39"/>
  <c r="G116" i="39"/>
  <c r="H116" i="39"/>
  <c r="I116" i="39"/>
  <c r="J116" i="39"/>
  <c r="K116" i="39"/>
  <c r="L116" i="39"/>
  <c r="M116" i="39"/>
  <c r="C116" i="39"/>
  <c r="A21" i="62"/>
  <c r="B67" i="72"/>
  <c r="A20" i="62"/>
  <c r="B66" i="72"/>
  <c r="A22" i="51"/>
  <c r="A21" i="51"/>
  <c r="B16" i="72"/>
  <c r="A20" i="51"/>
  <c r="B15" i="72"/>
  <c r="A14" i="62"/>
  <c r="B60" i="72"/>
  <c r="A13" i="62"/>
  <c r="B59" i="72"/>
  <c r="A19" i="62"/>
  <c r="B65" i="72"/>
  <c r="A12" i="62"/>
  <c r="B58" i="72"/>
  <c r="A120" i="9"/>
  <c r="A6" i="52"/>
  <c r="B57" i="72"/>
  <c r="H2" i="52"/>
  <c r="A1" i="52"/>
  <c r="A3" i="53"/>
  <c r="Q15" i="71"/>
  <c r="O15" i="71"/>
  <c r="N15"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0" i="43"/>
  <c r="AG12" i="43"/>
  <c r="AF9" i="43"/>
  <c r="AF12" i="43"/>
  <c r="AE9" i="43"/>
  <c r="AE10" i="43"/>
  <c r="AE12" i="43"/>
  <c r="AD9" i="43"/>
  <c r="AD12" i="43"/>
  <c r="AC9" i="43"/>
  <c r="AC12" i="43"/>
  <c r="AB9" i="43"/>
  <c r="AB12" i="43"/>
  <c r="AA9" i="43"/>
  <c r="AA12" i="43"/>
  <c r="Z9" i="43"/>
  <c r="Z12" i="43"/>
  <c r="AA10" i="43"/>
  <c r="AC10" i="43"/>
  <c r="AI10" i="43"/>
  <c r="Z10" i="43"/>
  <c r="AB10" i="43"/>
  <c r="AF10" i="43"/>
  <c r="AH10" i="43"/>
  <c r="AJ10" i="43"/>
  <c r="K49" i="9"/>
  <c r="E107" i="9"/>
  <c r="A122" i="9"/>
  <c r="A8" i="52"/>
  <c r="E111" i="9"/>
  <c r="A126" i="9"/>
  <c r="A12" i="52"/>
  <c r="B56" i="72"/>
  <c r="E109" i="9"/>
  <c r="A124" i="9"/>
  <c r="B44" i="72"/>
  <c r="B42" i="72"/>
  <c r="B69" i="72"/>
  <c r="B68" i="72"/>
  <c r="B63" i="72"/>
  <c r="B62" i="72"/>
  <c r="B10" i="72"/>
  <c r="C53" i="10"/>
  <c r="B51" i="10"/>
  <c r="B19" i="72"/>
  <c r="A18" i="51"/>
  <c r="B13" i="72"/>
  <c r="B49" i="48"/>
  <c r="B5" i="72"/>
  <c r="I19" i="43"/>
  <c r="D78" i="71"/>
  <c r="F77" i="71"/>
  <c r="F76" i="71"/>
  <c r="E77" i="71"/>
  <c r="E76" i="71"/>
  <c r="E75" i="71"/>
  <c r="C77" i="71"/>
  <c r="B77" i="71"/>
  <c r="F75" i="71"/>
  <c r="B76" i="71"/>
  <c r="B75" i="71"/>
  <c r="D74" i="71"/>
  <c r="F73" i="71"/>
  <c r="E73" i="71"/>
  <c r="E72" i="71"/>
  <c r="E71" i="71"/>
  <c r="C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E65" i="71"/>
  <c r="U65" i="71"/>
  <c r="C65" i="71"/>
  <c r="T65" i="71"/>
  <c r="B65" i="71"/>
  <c r="Q64" i="71"/>
  <c r="P64" i="71"/>
  <c r="O64" i="71"/>
  <c r="N64"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F56" i="71"/>
  <c r="F55" i="71"/>
  <c r="V57" i="71"/>
  <c r="E57" i="71"/>
  <c r="P57" i="71"/>
  <c r="C57" i="71"/>
  <c r="B57" i="71"/>
  <c r="N57" i="71"/>
  <c r="S57" i="71"/>
  <c r="B56" i="71"/>
  <c r="D54" i="71"/>
  <c r="Q53" i="71"/>
  <c r="P53" i="71"/>
  <c r="O53" i="71"/>
  <c r="N53" i="71"/>
  <c r="Q52" i="71"/>
  <c r="P52" i="71"/>
  <c r="O52" i="71"/>
  <c r="N52" i="71"/>
  <c r="Q51" i="71"/>
  <c r="P51" i="71"/>
  <c r="O51" i="71"/>
  <c r="N51" i="71"/>
  <c r="Q50" i="71"/>
  <c r="F51" i="71"/>
  <c r="F52" i="71"/>
  <c r="F53" i="71"/>
  <c r="V53" i="71"/>
  <c r="P50" i="71"/>
  <c r="E51" i="71"/>
  <c r="E52" i="71"/>
  <c r="E53" i="71"/>
  <c r="U53"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P38" i="71"/>
  <c r="E39" i="71"/>
  <c r="E40" i="71"/>
  <c r="O39" i="71"/>
  <c r="N39" i="71"/>
  <c r="Q38" i="71"/>
  <c r="F39" i="71"/>
  <c r="F40" i="71"/>
  <c r="F41"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C36" i="71"/>
  <c r="D36"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Q28" i="71"/>
  <c r="AB28" i="71"/>
  <c r="AA28" i="71"/>
  <c r="Y28" i="71"/>
  <c r="Z28" i="71"/>
  <c r="N28" i="71"/>
  <c r="X28" i="71"/>
  <c r="Q27" i="71"/>
  <c r="AB27" i="71"/>
  <c r="N27" i="71"/>
  <c r="N21" i="71"/>
  <c r="N22" i="71"/>
  <c r="N23" i="71"/>
  <c r="N24" i="71"/>
  <c r="N25" i="71"/>
  <c r="N26" i="71"/>
  <c r="X21" i="71"/>
  <c r="Q26" i="71"/>
  <c r="B27" i="71"/>
  <c r="B28" i="71"/>
  <c r="B29" i="71"/>
  <c r="S29" i="71"/>
  <c r="D26" i="71"/>
  <c r="Q25" i="71"/>
  <c r="O25" i="71"/>
  <c r="Y25" i="71"/>
  <c r="Z25" i="71"/>
  <c r="Q24" i="71"/>
  <c r="O24" i="71"/>
  <c r="Y24" i="71"/>
  <c r="Z24" i="71"/>
  <c r="Q23" i="71"/>
  <c r="O23" i="71"/>
  <c r="Y23" i="71"/>
  <c r="Z23" i="71"/>
  <c r="Q22" i="71"/>
  <c r="F23" i="71"/>
  <c r="O22" i="71"/>
  <c r="D22" i="71"/>
  <c r="Q21" i="71"/>
  <c r="Q19" i="71"/>
  <c r="Q20" i="71"/>
  <c r="AB19" i="71"/>
  <c r="O21" i="71"/>
  <c r="AA13" i="71"/>
  <c r="O20" i="71"/>
  <c r="N20" i="71"/>
  <c r="X20" i="71"/>
  <c r="O19" i="71"/>
  <c r="N19" i="71"/>
  <c r="Q18" i="71"/>
  <c r="F19" i="71"/>
  <c r="F20" i="71"/>
  <c r="F21" i="71"/>
  <c r="V21" i="71"/>
  <c r="O18" i="71"/>
  <c r="N18" i="71"/>
  <c r="D18" i="71"/>
  <c r="O17" i="71"/>
  <c r="N17" i="71"/>
  <c r="B19" i="71"/>
  <c r="B20" i="71"/>
  <c r="X18" i="71"/>
  <c r="E19" i="71"/>
  <c r="B23" i="71"/>
  <c r="B24" i="71"/>
  <c r="B25" i="71"/>
  <c r="S25" i="71"/>
  <c r="X26" i="71"/>
  <c r="E27" i="71"/>
  <c r="E28" i="71"/>
  <c r="E29" i="71"/>
  <c r="U29" i="71"/>
  <c r="AA26" i="71"/>
  <c r="AA21" i="71"/>
  <c r="AA25" i="71"/>
  <c r="X27" i="71"/>
  <c r="AA27" i="71"/>
  <c r="V41" i="71"/>
  <c r="C17" i="71"/>
  <c r="C16" i="71"/>
  <c r="Y14" i="71"/>
  <c r="Z14" i="71"/>
  <c r="B17" i="71"/>
  <c r="X15" i="71"/>
  <c r="D27" i="71"/>
  <c r="C32" i="71"/>
  <c r="C33" i="71"/>
  <c r="D31" i="71"/>
  <c r="D35" i="71"/>
  <c r="AA3" i="71"/>
  <c r="E44" i="71"/>
  <c r="E45" i="71"/>
  <c r="U45" i="71"/>
  <c r="E48" i="71"/>
  <c r="E49" i="71"/>
  <c r="U49" i="71"/>
  <c r="U57" i="71"/>
  <c r="E56" i="71"/>
  <c r="Q17" i="71"/>
  <c r="D47" i="71"/>
  <c r="N56" i="71"/>
  <c r="B55" i="71"/>
  <c r="N55" i="71"/>
  <c r="Q56" i="71"/>
  <c r="T57" i="71"/>
  <c r="O57" i="71"/>
  <c r="D57" i="71"/>
  <c r="C56" i="71"/>
  <c r="O56" i="71"/>
  <c r="C60" i="71"/>
  <c r="C59" i="71"/>
  <c r="D59" i="71"/>
  <c r="E60" i="71"/>
  <c r="E59" i="71"/>
  <c r="D61" i="71"/>
  <c r="C64" i="71"/>
  <c r="C63" i="71"/>
  <c r="D63" i="71"/>
  <c r="E64" i="71"/>
  <c r="E63" i="71"/>
  <c r="C68" i="71"/>
  <c r="C67" i="71"/>
  <c r="D67" i="71"/>
  <c r="E68" i="71"/>
  <c r="E67" i="71"/>
  <c r="D69" i="71"/>
  <c r="T17" i="71"/>
  <c r="AB15" i="71"/>
  <c r="E17" i="71"/>
  <c r="V17" i="71"/>
  <c r="E16" i="71"/>
  <c r="E15" i="71"/>
  <c r="AA15" i="71"/>
  <c r="D17" i="71"/>
  <c r="U17" i="71"/>
  <c r="C55" i="71"/>
  <c r="D55" i="71"/>
  <c r="D56" i="71"/>
  <c r="D60" i="71"/>
  <c r="P56" i="71"/>
  <c r="E55" i="71"/>
  <c r="P54" i="71"/>
  <c r="D32" i="71"/>
  <c r="P55" i="71"/>
  <c r="O55" i="71"/>
  <c r="O54" i="71"/>
  <c r="O27" i="6"/>
  <c r="N27" i="6"/>
  <c r="P20" i="6"/>
  <c r="P21" i="6"/>
  <c r="P22" i="6"/>
  <c r="P23" i="6"/>
  <c r="P24" i="6"/>
  <c r="P25" i="6"/>
  <c r="P26" i="6"/>
  <c r="P19" i="6"/>
  <c r="P27"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25" i="40"/>
  <c r="AA25" i="40"/>
  <c r="Q29" i="39"/>
  <c r="Z29" i="39"/>
  <c r="D103" i="39"/>
  <c r="E103" i="39"/>
  <c r="F103" i="39"/>
  <c r="G103" i="39"/>
  <c r="F29" i="39"/>
  <c r="AA29" i="39"/>
  <c r="Q18" i="36"/>
  <c r="Z18" i="36"/>
  <c r="D66" i="36"/>
  <c r="E66" i="36"/>
  <c r="F66" i="36"/>
  <c r="H18" i="36"/>
  <c r="AB18" i="36"/>
  <c r="F18" i="36"/>
  <c r="C18" i="36"/>
  <c r="Q18" i="35"/>
  <c r="Z18" i="35"/>
  <c r="D68" i="35"/>
  <c r="E68" i="35"/>
  <c r="F68" i="35"/>
  <c r="G68" i="35"/>
  <c r="F18" i="35"/>
  <c r="AA18" i="35"/>
  <c r="C18" i="35"/>
  <c r="Q21" i="37"/>
  <c r="Z21" i="37"/>
  <c r="D77" i="37"/>
  <c r="E77" i="37"/>
  <c r="F77" i="37"/>
  <c r="G77" i="37"/>
  <c r="C21" i="37"/>
  <c r="Q21" i="34"/>
  <c r="Z21" i="34"/>
  <c r="D84" i="34"/>
  <c r="E84" i="34"/>
  <c r="F84" i="34"/>
  <c r="F21" i="34"/>
  <c r="AA21" i="34"/>
  <c r="C21" i="34"/>
  <c r="Q21" i="33"/>
  <c r="Z21" i="33"/>
  <c r="D83" i="33"/>
  <c r="E83" i="33"/>
  <c r="F83" i="33"/>
  <c r="G83" i="33"/>
  <c r="C21" i="33"/>
  <c r="C21" i="21"/>
  <c r="Q21" i="21"/>
  <c r="Z21" i="21"/>
  <c r="H19" i="21"/>
  <c r="D83" i="21"/>
  <c r="F21" i="21"/>
  <c r="AA21" i="21"/>
  <c r="D81" i="21"/>
  <c r="G20" i="20"/>
  <c r="C25" i="40"/>
  <c r="B86" i="43"/>
  <c r="C22" i="20"/>
  <c r="B75" i="43"/>
  <c r="B55" i="43"/>
  <c r="B66" i="43"/>
  <c r="C29" i="39"/>
  <c r="S25" i="40"/>
  <c r="S29" i="39"/>
  <c r="U18" i="36"/>
  <c r="S21" i="34"/>
  <c r="F94" i="40"/>
  <c r="G94" i="40"/>
  <c r="H25" i="40"/>
  <c r="J25" i="40"/>
  <c r="AC25" i="40"/>
  <c r="H29" i="39"/>
  <c r="J29" i="39"/>
  <c r="G66" i="36"/>
  <c r="J18" i="36"/>
  <c r="H18" i="35"/>
  <c r="AB18" i="35"/>
  <c r="S18" i="35"/>
  <c r="J18" i="35"/>
  <c r="H21" i="37"/>
  <c r="U21" i="37"/>
  <c r="F21" i="37"/>
  <c r="AA21" i="37"/>
  <c r="H21" i="34"/>
  <c r="U21" i="34"/>
  <c r="H21" i="33"/>
  <c r="U21" i="33"/>
  <c r="F21" i="33"/>
  <c r="E83" i="21"/>
  <c r="H1" i="69"/>
  <c r="W25" i="40"/>
  <c r="AB25" i="40"/>
  <c r="U25" i="40"/>
  <c r="AB29" i="39"/>
  <c r="U29" i="39"/>
  <c r="AC29" i="39"/>
  <c r="W29" i="39"/>
  <c r="AC18" i="36"/>
  <c r="W18" i="36"/>
  <c r="AB21" i="37"/>
  <c r="S21" i="37"/>
  <c r="AB21" i="34"/>
  <c r="AB21" i="33"/>
  <c r="AA21" i="33"/>
  <c r="S21" i="33"/>
  <c r="U18" i="35"/>
  <c r="AC18" i="35"/>
  <c r="W18" i="35"/>
  <c r="J21" i="37"/>
  <c r="W21" i="37"/>
  <c r="G84" i="34"/>
  <c r="J21" i="34"/>
  <c r="AC21" i="34"/>
  <c r="J21" i="33"/>
  <c r="F83" i="21"/>
  <c r="H21" i="21"/>
  <c r="AB21" i="21"/>
  <c r="F38" i="69"/>
  <c r="E37" i="69"/>
  <c r="F36" i="69"/>
  <c r="F35" i="69"/>
  <c r="F21" i="69"/>
  <c r="C40" i="69"/>
  <c r="C21" i="69"/>
  <c r="F20" i="69"/>
  <c r="E10" i="69"/>
  <c r="E9" i="69"/>
  <c r="C7" i="69"/>
  <c r="AC21" i="37"/>
  <c r="W21" i="34"/>
  <c r="U21" i="21"/>
  <c r="G83" i="21"/>
  <c r="J21" i="21"/>
  <c r="W21" i="21"/>
  <c r="F38" i="68"/>
  <c r="E37" i="68"/>
  <c r="F36" i="68"/>
  <c r="F35" i="68"/>
  <c r="F21" i="68"/>
  <c r="C40" i="68"/>
  <c r="C21" i="68"/>
  <c r="F20" i="68"/>
  <c r="E10" i="68"/>
  <c r="E9" i="68"/>
  <c r="AC21" i="21"/>
  <c r="Q72" i="67"/>
  <c r="Q59" i="67"/>
  <c r="Q58" i="67"/>
  <c r="Q51" i="67"/>
  <c r="J50" i="67"/>
  <c r="M47" i="67"/>
  <c r="D46" i="67"/>
  <c r="F33" i="67"/>
  <c r="F61" i="67"/>
  <c r="F23" i="67"/>
  <c r="D24" i="67"/>
  <c r="F21" i="67"/>
  <c r="F20" i="67"/>
  <c r="M19" i="67"/>
  <c r="F18" i="67"/>
  <c r="F17" i="67"/>
  <c r="F15" i="67"/>
  <c r="D22" i="67"/>
  <c r="S2" i="4"/>
  <c r="A118" i="9"/>
  <c r="S1" i="4"/>
  <c r="A4" i="51"/>
  <c r="B6" i="72"/>
  <c r="B1" i="4"/>
  <c r="B37" i="48"/>
  <c r="B2" i="72"/>
  <c r="I23" i="66"/>
  <c r="D20" i="66"/>
  <c r="E15" i="66"/>
  <c r="F113" i="43"/>
  <c r="N99" i="43"/>
  <c r="N108" i="43"/>
  <c r="D99" i="43"/>
  <c r="D108" i="43"/>
  <c r="E99" i="43"/>
  <c r="F99" i="43"/>
  <c r="F108" i="43"/>
  <c r="G99" i="43"/>
  <c r="H99" i="43"/>
  <c r="H108" i="43"/>
  <c r="I99" i="43"/>
  <c r="J99" i="43"/>
  <c r="J108" i="43"/>
  <c r="K99" i="43"/>
  <c r="L99" i="43"/>
  <c r="L108" i="43"/>
  <c r="M99" i="43"/>
  <c r="C99" i="43"/>
  <c r="C108" i="43"/>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K48" i="43"/>
  <c r="D48" i="43"/>
  <c r="K49" i="43"/>
  <c r="D49" i="43"/>
  <c r="K50" i="43"/>
  <c r="D50" i="43"/>
  <c r="K51" i="43"/>
  <c r="D51" i="43"/>
  <c r="K52" i="43"/>
  <c r="D52" i="43"/>
  <c r="K53" i="43"/>
  <c r="D53" i="43"/>
  <c r="K54" i="43"/>
  <c r="D54" i="43"/>
  <c r="K55" i="43"/>
  <c r="J55" i="43"/>
  <c r="D55" i="43"/>
  <c r="K56" i="43"/>
  <c r="D56" i="43"/>
  <c r="E48" i="43"/>
  <c r="B46"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J54" i="43"/>
  <c r="M53" i="43"/>
  <c r="N53" i="43"/>
  <c r="J53" i="43"/>
  <c r="M52" i="43"/>
  <c r="N52" i="43"/>
  <c r="J52" i="43"/>
  <c r="M51" i="43"/>
  <c r="N51" i="43"/>
  <c r="J51" i="43"/>
  <c r="M50" i="43"/>
  <c r="N50" i="43"/>
  <c r="J50" i="43"/>
  <c r="M49" i="43"/>
  <c r="N49" i="43"/>
  <c r="J49" i="43"/>
  <c r="M48" i="43"/>
  <c r="N48" i="43"/>
  <c r="J48" i="43"/>
  <c r="Q72" i="15"/>
  <c r="Q58" i="15"/>
  <c r="Q51" i="15"/>
  <c r="Q59" i="15"/>
  <c r="AE10" i="1"/>
  <c r="AE11" i="1"/>
  <c r="AE12" i="1"/>
  <c r="AE13" i="1"/>
  <c r="M47" i="15"/>
  <c r="AG7" i="1"/>
  <c r="AG8" i="1"/>
  <c r="AG9" i="1"/>
  <c r="AG10" i="1"/>
  <c r="AG11" i="1"/>
  <c r="AG12" i="1"/>
  <c r="AG13" i="1"/>
  <c r="J50" i="15"/>
  <c r="B2" i="1"/>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D10" i="1"/>
  <c r="G10" i="1"/>
  <c r="F11" i="1"/>
  <c r="D11" i="1"/>
  <c r="G11" i="1"/>
  <c r="F12" i="1"/>
  <c r="F13" i="1"/>
  <c r="D6" i="1"/>
  <c r="D9" i="1"/>
  <c r="D12" i="1"/>
  <c r="D13" i="1"/>
  <c r="D7" i="1"/>
  <c r="D8" i="1"/>
  <c r="A7" i="1"/>
  <c r="A8" i="1"/>
  <c r="B8" i="1"/>
  <c r="E8" i="1"/>
  <c r="A9" i="1"/>
  <c r="A10" i="1"/>
  <c r="A11" i="1"/>
  <c r="B11" i="1"/>
  <c r="A12" i="1"/>
  <c r="A13" i="1"/>
  <c r="K13" i="1"/>
  <c r="G1" i="69"/>
  <c r="E11" i="1"/>
  <c r="K10" i="1"/>
  <c r="B13" i="1"/>
  <c r="E13" i="1"/>
  <c r="G79" i="36"/>
  <c r="G85" i="35"/>
  <c r="G97" i="37"/>
  <c r="G110" i="34"/>
  <c r="G111" i="21"/>
  <c r="G109" i="33"/>
  <c r="D23" i="31"/>
  <c r="L2" i="31"/>
  <c r="K2" i="31"/>
  <c r="J2" i="31"/>
  <c r="I2" i="31"/>
  <c r="H2" i="31"/>
  <c r="G2" i="31"/>
  <c r="F2" i="31"/>
  <c r="E2" i="31"/>
  <c r="D2" i="31"/>
  <c r="C2" i="31"/>
  <c r="D46" i="15"/>
  <c r="BT112" i="3"/>
  <c r="BR112" i="3"/>
  <c r="BP112" i="3"/>
  <c r="BN112" i="3"/>
  <c r="BL112" i="3"/>
  <c r="BA112" i="3"/>
  <c r="AZ112" i="3"/>
  <c r="AX112" i="3"/>
  <c r="AW112" i="3"/>
  <c r="AV112" i="3"/>
  <c r="AC112" i="3"/>
  <c r="H112" i="3"/>
  <c r="G112" i="3"/>
  <c r="BT111" i="3"/>
  <c r="BR111" i="3"/>
  <c r="BP111" i="3"/>
  <c r="BN111" i="3"/>
  <c r="BL111" i="3"/>
  <c r="AX111" i="3"/>
  <c r="AW111" i="3"/>
  <c r="AV111" i="3"/>
  <c r="AC111" i="3"/>
  <c r="H111" i="3"/>
  <c r="G111" i="3"/>
  <c r="BT110" i="3"/>
  <c r="BR110" i="3"/>
  <c r="BP110" i="3"/>
  <c r="BN110" i="3"/>
  <c r="BL110" i="3"/>
  <c r="BA110" i="3"/>
  <c r="AX110" i="3"/>
  <c r="AW110" i="3"/>
  <c r="AV110" i="3"/>
  <c r="AC110" i="3"/>
  <c r="H110" i="3"/>
  <c r="G110" i="3"/>
  <c r="BT109" i="3"/>
  <c r="BR109" i="3"/>
  <c r="BP109" i="3"/>
  <c r="BN109" i="3"/>
  <c r="BL109" i="3"/>
  <c r="BA109" i="3"/>
  <c r="AX109" i="3"/>
  <c r="AW109" i="3"/>
  <c r="AV109" i="3"/>
  <c r="AC109" i="3"/>
  <c r="H109" i="3"/>
  <c r="G109" i="3"/>
  <c r="BT108" i="3"/>
  <c r="BR108" i="3"/>
  <c r="BP108" i="3"/>
  <c r="BN108" i="3"/>
  <c r="BL108" i="3"/>
  <c r="BA108" i="3"/>
  <c r="AX108" i="3"/>
  <c r="AW108" i="3"/>
  <c r="AV108" i="3"/>
  <c r="AC108" i="3"/>
  <c r="H108" i="3"/>
  <c r="G108" i="3"/>
  <c r="BT107" i="3"/>
  <c r="BR107" i="3"/>
  <c r="BP107" i="3"/>
  <c r="BN107" i="3"/>
  <c r="BL107" i="3"/>
  <c r="BA107" i="3"/>
  <c r="AX107" i="3"/>
  <c r="AW107" i="3"/>
  <c r="AV107" i="3"/>
  <c r="AC107" i="3"/>
  <c r="H107" i="3"/>
  <c r="G107" i="3"/>
  <c r="BT106" i="3"/>
  <c r="BR106" i="3"/>
  <c r="BP106" i="3"/>
  <c r="BN106" i="3"/>
  <c r="BA106" i="3"/>
  <c r="AX106" i="3"/>
  <c r="AW106" i="3"/>
  <c r="AV106" i="3"/>
  <c r="AC106" i="3"/>
  <c r="H106" i="3"/>
  <c r="G106" i="3"/>
  <c r="BT105" i="3"/>
  <c r="BR105" i="3"/>
  <c r="BP105" i="3"/>
  <c r="BN105" i="3"/>
  <c r="BL105" i="3"/>
  <c r="BA105" i="3"/>
  <c r="AX105" i="3"/>
  <c r="AW105" i="3"/>
  <c r="AV105" i="3"/>
  <c r="AC105" i="3"/>
  <c r="H105" i="3"/>
  <c r="G105" i="3"/>
  <c r="BT104" i="3"/>
  <c r="BR104" i="3"/>
  <c r="BP104" i="3"/>
  <c r="BN104" i="3"/>
  <c r="BL104" i="3"/>
  <c r="AX104" i="3"/>
  <c r="AW104" i="3"/>
  <c r="AV104" i="3"/>
  <c r="AC104" i="3"/>
  <c r="H104" i="3"/>
  <c r="G104" i="3"/>
  <c r="BT103" i="3"/>
  <c r="BR103" i="3"/>
  <c r="BP103" i="3"/>
  <c r="BN103" i="3"/>
  <c r="BL103" i="3"/>
  <c r="BA103" i="3"/>
  <c r="AX103" i="3"/>
  <c r="AW103" i="3"/>
  <c r="AV103" i="3"/>
  <c r="AC103" i="3"/>
  <c r="H103" i="3"/>
  <c r="G103" i="3"/>
  <c r="BT102" i="3"/>
  <c r="BR102" i="3"/>
  <c r="BP102" i="3"/>
  <c r="BN102" i="3"/>
  <c r="BL102" i="3"/>
  <c r="BA102" i="3"/>
  <c r="AX102" i="3"/>
  <c r="AW102" i="3"/>
  <c r="AV102" i="3"/>
  <c r="AC102" i="3"/>
  <c r="H102" i="3"/>
  <c r="G102" i="3"/>
  <c r="BT101" i="3"/>
  <c r="BR101" i="3"/>
  <c r="BP101" i="3"/>
  <c r="BN101" i="3"/>
  <c r="BL101" i="3"/>
  <c r="AX101" i="3"/>
  <c r="AW101" i="3"/>
  <c r="AV101" i="3"/>
  <c r="AC101" i="3"/>
  <c r="H101" i="3"/>
  <c r="G101" i="3"/>
  <c r="BT100" i="3"/>
  <c r="BR100" i="3"/>
  <c r="BP100" i="3"/>
  <c r="BN100" i="3"/>
  <c r="BL100" i="3"/>
  <c r="BA100" i="3"/>
  <c r="AZ100" i="3"/>
  <c r="AX100" i="3"/>
  <c r="AW100" i="3"/>
  <c r="AV100" i="3"/>
  <c r="AC100" i="3"/>
  <c r="H100" i="3"/>
  <c r="G100" i="3"/>
  <c r="BT99" i="3"/>
  <c r="BR99" i="3"/>
  <c r="BP99" i="3"/>
  <c r="BN99" i="3"/>
  <c r="BL99" i="3"/>
  <c r="BA99" i="3"/>
  <c r="AZ99" i="3"/>
  <c r="AX99" i="3"/>
  <c r="AW99" i="3"/>
  <c r="AV99" i="3"/>
  <c r="AC99" i="3"/>
  <c r="H99" i="3"/>
  <c r="G99" i="3"/>
  <c r="BT98" i="3"/>
  <c r="BR98" i="3"/>
  <c r="BP98" i="3"/>
  <c r="BN98" i="3"/>
  <c r="BL98" i="3"/>
  <c r="AX98" i="3"/>
  <c r="AW98" i="3"/>
  <c r="AV98" i="3"/>
  <c r="AC98" i="3"/>
  <c r="H98" i="3"/>
  <c r="G98" i="3"/>
  <c r="BT97" i="3"/>
  <c r="BR97" i="3"/>
  <c r="BP97" i="3"/>
  <c r="BN97" i="3"/>
  <c r="BL97" i="3"/>
  <c r="BA97" i="3"/>
  <c r="AX97" i="3"/>
  <c r="AW97" i="3"/>
  <c r="AV97" i="3"/>
  <c r="AC97" i="3"/>
  <c r="H97" i="3"/>
  <c r="G97" i="3"/>
  <c r="BT96" i="3"/>
  <c r="BR96" i="3"/>
  <c r="BP96" i="3"/>
  <c r="BN96" i="3"/>
  <c r="BL96" i="3"/>
  <c r="BA96" i="3"/>
  <c r="AX96" i="3"/>
  <c r="AW96" i="3"/>
  <c r="AV96" i="3"/>
  <c r="AC96" i="3"/>
  <c r="H96" i="3"/>
  <c r="G96" i="3"/>
  <c r="BT95" i="3"/>
  <c r="BR95" i="3"/>
  <c r="BP95" i="3"/>
  <c r="BN95" i="3"/>
  <c r="BL95" i="3"/>
  <c r="AX95" i="3"/>
  <c r="AW95" i="3"/>
  <c r="AV95" i="3"/>
  <c r="AC95" i="3"/>
  <c r="H95" i="3"/>
  <c r="G95" i="3"/>
  <c r="BT94" i="3"/>
  <c r="BR94" i="3"/>
  <c r="BP94" i="3"/>
  <c r="BN94" i="3"/>
  <c r="BL94" i="3"/>
  <c r="BA94" i="3"/>
  <c r="AX94" i="3"/>
  <c r="AW94" i="3"/>
  <c r="AV94" i="3"/>
  <c r="AC94" i="3"/>
  <c r="H94" i="3"/>
  <c r="G94" i="3"/>
  <c r="BT93" i="3"/>
  <c r="BR93" i="3"/>
  <c r="BP93" i="3"/>
  <c r="BN93" i="3"/>
  <c r="BL93" i="3"/>
  <c r="BA93" i="3"/>
  <c r="AX93" i="3"/>
  <c r="AW93" i="3"/>
  <c r="AV93" i="3"/>
  <c r="AC93" i="3"/>
  <c r="H93" i="3"/>
  <c r="G93" i="3"/>
  <c r="BT92" i="3"/>
  <c r="BR92" i="3"/>
  <c r="BP92" i="3"/>
  <c r="BN92" i="3"/>
  <c r="BL92" i="3"/>
  <c r="BA92" i="3"/>
  <c r="AX92" i="3"/>
  <c r="AW92" i="3"/>
  <c r="AV92" i="3"/>
  <c r="AC92" i="3"/>
  <c r="H92" i="3"/>
  <c r="G92" i="3"/>
  <c r="BT91" i="3"/>
  <c r="BR91" i="3"/>
  <c r="BP91" i="3"/>
  <c r="BN91" i="3"/>
  <c r="BL91" i="3"/>
  <c r="BA91" i="3"/>
  <c r="AZ91" i="3"/>
  <c r="AX91" i="3"/>
  <c r="AW91" i="3"/>
  <c r="AV91" i="3"/>
  <c r="AC91" i="3"/>
  <c r="H91" i="3"/>
  <c r="G91" i="3"/>
  <c r="BT90" i="3"/>
  <c r="BR90" i="3"/>
  <c r="BP90" i="3"/>
  <c r="BN90" i="3"/>
  <c r="BL90" i="3"/>
  <c r="BA90" i="3"/>
  <c r="AX90" i="3"/>
  <c r="AW90" i="3"/>
  <c r="AV90" i="3"/>
  <c r="AC90" i="3"/>
  <c r="H90" i="3"/>
  <c r="G90" i="3"/>
  <c r="BT89" i="3"/>
  <c r="BR89" i="3"/>
  <c r="BP89" i="3"/>
  <c r="BN89" i="3"/>
  <c r="BL89" i="3"/>
  <c r="AX89" i="3"/>
  <c r="AW89" i="3"/>
  <c r="AV89" i="3"/>
  <c r="AC89" i="3"/>
  <c r="H89" i="3"/>
  <c r="G89" i="3"/>
  <c r="BT88" i="3"/>
  <c r="BR88" i="3"/>
  <c r="BP88" i="3"/>
  <c r="BN88" i="3"/>
  <c r="BL88" i="3"/>
  <c r="BA88" i="3"/>
  <c r="AX88" i="3"/>
  <c r="AW88" i="3"/>
  <c r="AV88" i="3"/>
  <c r="AC88" i="3"/>
  <c r="H88" i="3"/>
  <c r="G88" i="3"/>
  <c r="BT87" i="3"/>
  <c r="BR87" i="3"/>
  <c r="BP87" i="3"/>
  <c r="BN87" i="3"/>
  <c r="BL87" i="3"/>
  <c r="AX87" i="3"/>
  <c r="AW87" i="3"/>
  <c r="AV87" i="3"/>
  <c r="AC87" i="3"/>
  <c r="H87" i="3"/>
  <c r="G87" i="3"/>
  <c r="BT86" i="3"/>
  <c r="BR86" i="3"/>
  <c r="BP86" i="3"/>
  <c r="BN86" i="3"/>
  <c r="BL86" i="3"/>
  <c r="BA86" i="3"/>
  <c r="AX86" i="3"/>
  <c r="AW86" i="3"/>
  <c r="AV86" i="3"/>
  <c r="AC86" i="3"/>
  <c r="H86" i="3"/>
  <c r="G86" i="3"/>
  <c r="BT85" i="3"/>
  <c r="BR85" i="3"/>
  <c r="BP85" i="3"/>
  <c r="BN85" i="3"/>
  <c r="BL85" i="3"/>
  <c r="BA85" i="3"/>
  <c r="AX85" i="3"/>
  <c r="AW85" i="3"/>
  <c r="AV85" i="3"/>
  <c r="AC85" i="3"/>
  <c r="H85" i="3"/>
  <c r="G85" i="3"/>
  <c r="BT84" i="3"/>
  <c r="BR84" i="3"/>
  <c r="BP84" i="3"/>
  <c r="BN84" i="3"/>
  <c r="BL84" i="3"/>
  <c r="BA84" i="3"/>
  <c r="AX84" i="3"/>
  <c r="AW84" i="3"/>
  <c r="AV84" i="3"/>
  <c r="AC84" i="3"/>
  <c r="H84" i="3"/>
  <c r="G84" i="3"/>
  <c r="BT83" i="3"/>
  <c r="BR83" i="3"/>
  <c r="BP83" i="3"/>
  <c r="BN83" i="3"/>
  <c r="BL83" i="3"/>
  <c r="BA83" i="3"/>
  <c r="AX83" i="3"/>
  <c r="AW83" i="3"/>
  <c r="AV83" i="3"/>
  <c r="AC83" i="3"/>
  <c r="H83" i="3"/>
  <c r="G83" i="3"/>
  <c r="BT82" i="3"/>
  <c r="BR82" i="3"/>
  <c r="BP82" i="3"/>
  <c r="BN82" i="3"/>
  <c r="BL82" i="3"/>
  <c r="BA82" i="3"/>
  <c r="AX82" i="3"/>
  <c r="AW82" i="3"/>
  <c r="AV82" i="3"/>
  <c r="AC82" i="3"/>
  <c r="H82" i="3"/>
  <c r="G82" i="3"/>
  <c r="BT81" i="3"/>
  <c r="BR81" i="3"/>
  <c r="BP81" i="3"/>
  <c r="BN81" i="3"/>
  <c r="BL81" i="3"/>
  <c r="BA81" i="3"/>
  <c r="AX81" i="3"/>
  <c r="AW81" i="3"/>
  <c r="AV81" i="3"/>
  <c r="AC81" i="3"/>
  <c r="H81" i="3"/>
  <c r="G81" i="3"/>
  <c r="BT80" i="3"/>
  <c r="BR80" i="3"/>
  <c r="BP80" i="3"/>
  <c r="BN80" i="3"/>
  <c r="BL80" i="3"/>
  <c r="AX80" i="3"/>
  <c r="AW80" i="3"/>
  <c r="AV80" i="3"/>
  <c r="AC80" i="3"/>
  <c r="H80" i="3"/>
  <c r="G80" i="3"/>
  <c r="BT79" i="3"/>
  <c r="BR79" i="3"/>
  <c r="BP79" i="3"/>
  <c r="BN79" i="3"/>
  <c r="BL79" i="3"/>
  <c r="BA79" i="3"/>
  <c r="AX79" i="3"/>
  <c r="AW79" i="3"/>
  <c r="AV79" i="3"/>
  <c r="AC79" i="3"/>
  <c r="H79" i="3"/>
  <c r="G79" i="3"/>
  <c r="BT78" i="3"/>
  <c r="BR78" i="3"/>
  <c r="BP78" i="3"/>
  <c r="BN78" i="3"/>
  <c r="BL78" i="3"/>
  <c r="AX78" i="3"/>
  <c r="AW78" i="3"/>
  <c r="AV78" i="3"/>
  <c r="AC78" i="3"/>
  <c r="H78" i="3"/>
  <c r="G78" i="3"/>
  <c r="BT77" i="3"/>
  <c r="BR77" i="3"/>
  <c r="BP77" i="3"/>
  <c r="BN77" i="3"/>
  <c r="BL77" i="3"/>
  <c r="BA77" i="3"/>
  <c r="AX77" i="3"/>
  <c r="AW77" i="3"/>
  <c r="AV77" i="3"/>
  <c r="AC77" i="3"/>
  <c r="H77" i="3"/>
  <c r="G77" i="3"/>
  <c r="BT76" i="3"/>
  <c r="BR76" i="3"/>
  <c r="BP76" i="3"/>
  <c r="BN76" i="3"/>
  <c r="BL76" i="3"/>
  <c r="BA76" i="3"/>
  <c r="AX76" i="3"/>
  <c r="AW76" i="3"/>
  <c r="AV76" i="3"/>
  <c r="AC76" i="3"/>
  <c r="H76" i="3"/>
  <c r="G76" i="3"/>
  <c r="BT75" i="3"/>
  <c r="BR75" i="3"/>
  <c r="BP75" i="3"/>
  <c r="BN75" i="3"/>
  <c r="BL75" i="3"/>
  <c r="AX75" i="3"/>
  <c r="AW75" i="3"/>
  <c r="AV75" i="3"/>
  <c r="AC75" i="3"/>
  <c r="H75" i="3"/>
  <c r="G75" i="3"/>
  <c r="BT74" i="3"/>
  <c r="BR74" i="3"/>
  <c r="BP74" i="3"/>
  <c r="BN74" i="3"/>
  <c r="BL74" i="3"/>
  <c r="AX74" i="3"/>
  <c r="AW74" i="3"/>
  <c r="AV74" i="3"/>
  <c r="AC74" i="3"/>
  <c r="H74" i="3"/>
  <c r="G74" i="3"/>
  <c r="BT73" i="3"/>
  <c r="BR73" i="3"/>
  <c r="BP73" i="3"/>
  <c r="BN73" i="3"/>
  <c r="BL73" i="3"/>
  <c r="AX73" i="3"/>
  <c r="AW73" i="3"/>
  <c r="AV73" i="3"/>
  <c r="AC73" i="3"/>
  <c r="H73" i="3"/>
  <c r="G73" i="3"/>
  <c r="BT72" i="3"/>
  <c r="BR72" i="3"/>
  <c r="BP72" i="3"/>
  <c r="BN72" i="3"/>
  <c r="BA72" i="3"/>
  <c r="AX72" i="3"/>
  <c r="AW72" i="3"/>
  <c r="AV72" i="3"/>
  <c r="AC72" i="3"/>
  <c r="H72" i="3"/>
  <c r="G72" i="3"/>
  <c r="BT71" i="3"/>
  <c r="BR71" i="3"/>
  <c r="BP71" i="3"/>
  <c r="BN71" i="3"/>
  <c r="BA71" i="3"/>
  <c r="AX71" i="3"/>
  <c r="AW71" i="3"/>
  <c r="AV71" i="3"/>
  <c r="AC71" i="3"/>
  <c r="H71" i="3"/>
  <c r="G71" i="3"/>
  <c r="BT70" i="3"/>
  <c r="BR70" i="3"/>
  <c r="BP70" i="3"/>
  <c r="BN70" i="3"/>
  <c r="BL70" i="3"/>
  <c r="BA70" i="3"/>
  <c r="AZ70" i="3"/>
  <c r="AX70" i="3"/>
  <c r="AW70" i="3"/>
  <c r="AV70" i="3"/>
  <c r="AC70" i="3"/>
  <c r="H70" i="3"/>
  <c r="G70" i="3"/>
  <c r="BT69" i="3"/>
  <c r="BR69" i="3"/>
  <c r="BP69" i="3"/>
  <c r="BN69" i="3"/>
  <c r="BL69" i="3"/>
  <c r="AX69" i="3"/>
  <c r="AW69" i="3"/>
  <c r="AV69" i="3"/>
  <c r="AC69" i="3"/>
  <c r="H69" i="3"/>
  <c r="G69" i="3"/>
  <c r="BT68" i="3"/>
  <c r="BR68" i="3"/>
  <c r="BP68" i="3"/>
  <c r="BN68" i="3"/>
  <c r="BL68" i="3"/>
  <c r="BA68" i="3"/>
  <c r="AZ68" i="3"/>
  <c r="AX68" i="3"/>
  <c r="AW68" i="3"/>
  <c r="AV68" i="3"/>
  <c r="AC68" i="3"/>
  <c r="H68" i="3"/>
  <c r="G68" i="3"/>
  <c r="BT67" i="3"/>
  <c r="BR67" i="3"/>
  <c r="BP67" i="3"/>
  <c r="BN67" i="3"/>
  <c r="BL67" i="3"/>
  <c r="BA67" i="3"/>
  <c r="AX67" i="3"/>
  <c r="AW67" i="3"/>
  <c r="AV67" i="3"/>
  <c r="AC67" i="3"/>
  <c r="H67" i="3"/>
  <c r="G67" i="3"/>
  <c r="BT66" i="3"/>
  <c r="BR66" i="3"/>
  <c r="BP66" i="3"/>
  <c r="BN66" i="3"/>
  <c r="BA66" i="3"/>
  <c r="AX66" i="3"/>
  <c r="AW66" i="3"/>
  <c r="AV66" i="3"/>
  <c r="AC66" i="3"/>
  <c r="H66" i="3"/>
  <c r="G66" i="3"/>
  <c r="BT65" i="3"/>
  <c r="BR65" i="3"/>
  <c r="BP65" i="3"/>
  <c r="BN65" i="3"/>
  <c r="BL65" i="3"/>
  <c r="BA65" i="3"/>
  <c r="AZ65" i="3"/>
  <c r="AX65" i="3"/>
  <c r="AW65" i="3"/>
  <c r="AV65" i="3"/>
  <c r="AC65" i="3"/>
  <c r="H65" i="3"/>
  <c r="G65" i="3"/>
  <c r="BT64" i="3"/>
  <c r="BR64" i="3"/>
  <c r="BP64" i="3"/>
  <c r="BN64" i="3"/>
  <c r="BL64" i="3"/>
  <c r="BA64" i="3"/>
  <c r="AZ64" i="3"/>
  <c r="AX64" i="3"/>
  <c r="AW64" i="3"/>
  <c r="AV64" i="3"/>
  <c r="AC64" i="3"/>
  <c r="H64" i="3"/>
  <c r="BT63" i="3"/>
  <c r="BR63" i="3"/>
  <c r="BP63" i="3"/>
  <c r="BN63" i="3"/>
  <c r="BA63" i="3"/>
  <c r="AX63" i="3"/>
  <c r="AW63" i="3"/>
  <c r="AV63" i="3"/>
  <c r="AC63" i="3"/>
  <c r="H63" i="3"/>
  <c r="G63" i="3"/>
  <c r="BT62" i="3"/>
  <c r="BR62" i="3"/>
  <c r="BP62" i="3"/>
  <c r="BN62" i="3"/>
  <c r="BL62" i="3"/>
  <c r="BA62" i="3"/>
  <c r="AZ62" i="3"/>
  <c r="AX62" i="3"/>
  <c r="AW62" i="3"/>
  <c r="AV62" i="3"/>
  <c r="AC62" i="3"/>
  <c r="H62" i="3"/>
  <c r="BT61" i="3"/>
  <c r="BR61" i="3"/>
  <c r="BP61" i="3"/>
  <c r="BN61" i="3"/>
  <c r="BL61" i="3"/>
  <c r="AX61" i="3"/>
  <c r="AW61" i="3"/>
  <c r="AV61" i="3"/>
  <c r="AC61" i="3"/>
  <c r="H61" i="3"/>
  <c r="G61" i="3"/>
  <c r="BT60" i="3"/>
  <c r="BR60" i="3"/>
  <c r="BP60" i="3"/>
  <c r="BN60" i="3"/>
  <c r="BL60" i="3"/>
  <c r="AX60" i="3"/>
  <c r="AW60" i="3"/>
  <c r="AV60" i="3"/>
  <c r="AC60" i="3"/>
  <c r="H60" i="3"/>
  <c r="G60" i="3"/>
  <c r="BT59" i="3"/>
  <c r="BR59" i="3"/>
  <c r="BP59" i="3"/>
  <c r="BN59" i="3"/>
  <c r="BL59" i="3"/>
  <c r="BA59" i="3"/>
  <c r="AX59" i="3"/>
  <c r="AW59" i="3"/>
  <c r="AV59" i="3"/>
  <c r="AC59" i="3"/>
  <c r="H59" i="3"/>
  <c r="G59" i="3"/>
  <c r="BT58" i="3"/>
  <c r="BR58" i="3"/>
  <c r="BP58" i="3"/>
  <c r="BN58" i="3"/>
  <c r="BL58" i="3"/>
  <c r="AX58" i="3"/>
  <c r="AW58" i="3"/>
  <c r="AV58" i="3"/>
  <c r="AC58" i="3"/>
  <c r="H58" i="3"/>
  <c r="G58" i="3"/>
  <c r="BT57" i="3"/>
  <c r="BR57" i="3"/>
  <c r="BP57" i="3"/>
  <c r="BN57" i="3"/>
  <c r="BL57" i="3"/>
  <c r="BA57" i="3"/>
  <c r="AX57" i="3"/>
  <c r="AW57" i="3"/>
  <c r="AV57" i="3"/>
  <c r="AC57" i="3"/>
  <c r="H57" i="3"/>
  <c r="BT56" i="3"/>
  <c r="BR56" i="3"/>
  <c r="BP56" i="3"/>
  <c r="BN56" i="3"/>
  <c r="BL56" i="3"/>
  <c r="AX56" i="3"/>
  <c r="AW56" i="3"/>
  <c r="AV56" i="3"/>
  <c r="AC56" i="3"/>
  <c r="H56" i="3"/>
  <c r="G56" i="3"/>
  <c r="BT55" i="3"/>
  <c r="BR55" i="3"/>
  <c r="BP55" i="3"/>
  <c r="BN55" i="3"/>
  <c r="BA55" i="3"/>
  <c r="AX55" i="3"/>
  <c r="AW55" i="3"/>
  <c r="AV55" i="3"/>
  <c r="AC55" i="3"/>
  <c r="H55" i="3"/>
  <c r="G55" i="3"/>
  <c r="BT54" i="3"/>
  <c r="BR54" i="3"/>
  <c r="BP54" i="3"/>
  <c r="BN54" i="3"/>
  <c r="BA54" i="3"/>
  <c r="AX54" i="3"/>
  <c r="AW54" i="3"/>
  <c r="AV54" i="3"/>
  <c r="AC54" i="3"/>
  <c r="H54" i="3"/>
  <c r="G54" i="3"/>
  <c r="BT53" i="3"/>
  <c r="BR53" i="3"/>
  <c r="BP53" i="3"/>
  <c r="BN53" i="3"/>
  <c r="BL53" i="3"/>
  <c r="AX53" i="3"/>
  <c r="AW53" i="3"/>
  <c r="AV53" i="3"/>
  <c r="AC53" i="3"/>
  <c r="H53" i="3"/>
  <c r="G53" i="3"/>
  <c r="BT52" i="3"/>
  <c r="BR52" i="3"/>
  <c r="BP52" i="3"/>
  <c r="BN52" i="3"/>
  <c r="BA52" i="3"/>
  <c r="AX52" i="3"/>
  <c r="AW52" i="3"/>
  <c r="AV52" i="3"/>
  <c r="AC52" i="3"/>
  <c r="H52" i="3"/>
  <c r="G52" i="3"/>
  <c r="BT51" i="3"/>
  <c r="BR51" i="3"/>
  <c r="BP51" i="3"/>
  <c r="BN51" i="3"/>
  <c r="BL51" i="3"/>
  <c r="BA51" i="3"/>
  <c r="AX51" i="3"/>
  <c r="AW51" i="3"/>
  <c r="AV51" i="3"/>
  <c r="AC51" i="3"/>
  <c r="H51" i="3"/>
  <c r="G51" i="3"/>
  <c r="BT50" i="3"/>
  <c r="BR50" i="3"/>
  <c r="BP50" i="3"/>
  <c r="BN50" i="3"/>
  <c r="BA50" i="3"/>
  <c r="AX50" i="3"/>
  <c r="AW50" i="3"/>
  <c r="AV50" i="3"/>
  <c r="AC50" i="3"/>
  <c r="H50" i="3"/>
  <c r="G50" i="3"/>
  <c r="BT49" i="3"/>
  <c r="BR49" i="3"/>
  <c r="BP49" i="3"/>
  <c r="BN49" i="3"/>
  <c r="BL49" i="3"/>
  <c r="AX49" i="3"/>
  <c r="AW49" i="3"/>
  <c r="AV49" i="3"/>
  <c r="AC49" i="3"/>
  <c r="H49" i="3"/>
  <c r="G49" i="3"/>
  <c r="BT48" i="3"/>
  <c r="BR48" i="3"/>
  <c r="BP48" i="3"/>
  <c r="BN48" i="3"/>
  <c r="BL48" i="3"/>
  <c r="BA48" i="3"/>
  <c r="AZ48" i="3"/>
  <c r="AX48" i="3"/>
  <c r="AW48" i="3"/>
  <c r="AV48" i="3"/>
  <c r="AC48" i="3"/>
  <c r="H48" i="3"/>
  <c r="G48" i="3"/>
  <c r="BT47" i="3"/>
  <c r="BR47" i="3"/>
  <c r="BP47" i="3"/>
  <c r="BN47" i="3"/>
  <c r="AX47" i="3"/>
  <c r="AW47" i="3"/>
  <c r="AV47" i="3"/>
  <c r="AC47" i="3"/>
  <c r="H47" i="3"/>
  <c r="G47" i="3"/>
  <c r="BT46" i="3"/>
  <c r="BR46" i="3"/>
  <c r="BP46" i="3"/>
  <c r="BN46" i="3"/>
  <c r="BL46" i="3"/>
  <c r="BA46" i="3"/>
  <c r="AX46" i="3"/>
  <c r="AW46" i="3"/>
  <c r="AV46" i="3"/>
  <c r="AC46" i="3"/>
  <c r="H46" i="3"/>
  <c r="BT45" i="3"/>
  <c r="BR45" i="3"/>
  <c r="BP45" i="3"/>
  <c r="BN45" i="3"/>
  <c r="BA45" i="3"/>
  <c r="AX45" i="3"/>
  <c r="AW45" i="3"/>
  <c r="AV45" i="3"/>
  <c r="AC45" i="3"/>
  <c r="H45" i="3"/>
  <c r="G45" i="3"/>
  <c r="BT44" i="3"/>
  <c r="BR44" i="3"/>
  <c r="BP44" i="3"/>
  <c r="BN44" i="3"/>
  <c r="BL44" i="3"/>
  <c r="BA44" i="3"/>
  <c r="AZ44" i="3"/>
  <c r="AX44" i="3"/>
  <c r="AW44" i="3"/>
  <c r="AV44" i="3"/>
  <c r="AC44" i="3"/>
  <c r="H44" i="3"/>
  <c r="G44" i="3"/>
  <c r="BT43" i="3"/>
  <c r="BR43" i="3"/>
  <c r="BP43" i="3"/>
  <c r="BN43" i="3"/>
  <c r="BA43" i="3"/>
  <c r="AX43" i="3"/>
  <c r="AW43" i="3"/>
  <c r="AV43" i="3"/>
  <c r="AC43" i="3"/>
  <c r="H43" i="3"/>
  <c r="G43" i="3"/>
  <c r="BT42" i="3"/>
  <c r="BR42" i="3"/>
  <c r="BP42" i="3"/>
  <c r="BN42" i="3"/>
  <c r="BL42" i="3"/>
  <c r="BA42" i="3"/>
  <c r="AX42" i="3"/>
  <c r="AW42" i="3"/>
  <c r="AV42" i="3"/>
  <c r="AC42" i="3"/>
  <c r="H42" i="3"/>
  <c r="G42" i="3"/>
  <c r="BT41" i="3"/>
  <c r="BR41" i="3"/>
  <c r="BP41" i="3"/>
  <c r="BN41" i="3"/>
  <c r="BL41" i="3"/>
  <c r="BA41" i="3"/>
  <c r="AX41" i="3"/>
  <c r="AW41" i="3"/>
  <c r="AV41" i="3"/>
  <c r="AC41" i="3"/>
  <c r="H41" i="3"/>
  <c r="BT40" i="3"/>
  <c r="BR40" i="3"/>
  <c r="BP40" i="3"/>
  <c r="BN40" i="3"/>
  <c r="BA40" i="3"/>
  <c r="AX40" i="3"/>
  <c r="AW40" i="3"/>
  <c r="AV40" i="3"/>
  <c r="AC40" i="3"/>
  <c r="H40" i="3"/>
  <c r="G40" i="3"/>
  <c r="BT39" i="3"/>
  <c r="BR39" i="3"/>
  <c r="BP39" i="3"/>
  <c r="BN39" i="3"/>
  <c r="BL39" i="3"/>
  <c r="BA39" i="3"/>
  <c r="AX39" i="3"/>
  <c r="AW39" i="3"/>
  <c r="AV39" i="3"/>
  <c r="AC39" i="3"/>
  <c r="H39" i="3"/>
  <c r="G39" i="3"/>
  <c r="BT38" i="3"/>
  <c r="BR38" i="3"/>
  <c r="BP38" i="3"/>
  <c r="BN38" i="3"/>
  <c r="BL38" i="3"/>
  <c r="BA38" i="3"/>
  <c r="AZ38" i="3"/>
  <c r="AX38" i="3"/>
  <c r="AW38" i="3"/>
  <c r="AV38" i="3"/>
  <c r="AC38" i="3"/>
  <c r="H38" i="3"/>
  <c r="G38" i="3"/>
  <c r="BT37" i="3"/>
  <c r="BR37" i="3"/>
  <c r="BP37" i="3"/>
  <c r="BN37" i="3"/>
  <c r="AX37" i="3"/>
  <c r="AW37" i="3"/>
  <c r="AV37" i="3"/>
  <c r="AC37" i="3"/>
  <c r="H37" i="3"/>
  <c r="G37" i="3"/>
  <c r="BT36" i="3"/>
  <c r="BR36" i="3"/>
  <c r="BP36" i="3"/>
  <c r="BN36" i="3"/>
  <c r="BL36" i="3"/>
  <c r="BA36" i="3"/>
  <c r="AZ36" i="3"/>
  <c r="AX36" i="3"/>
  <c r="AW36" i="3"/>
  <c r="AV36" i="3"/>
  <c r="AC36" i="3"/>
  <c r="H36" i="3"/>
  <c r="BT35" i="3"/>
  <c r="BR35" i="3"/>
  <c r="BP35" i="3"/>
  <c r="BN35" i="3"/>
  <c r="BL35" i="3"/>
  <c r="BA35" i="3"/>
  <c r="AX35" i="3"/>
  <c r="AW35" i="3"/>
  <c r="AV35" i="3"/>
  <c r="AC35" i="3"/>
  <c r="H35" i="3"/>
  <c r="G35" i="3"/>
  <c r="BT34" i="3"/>
  <c r="BR34" i="3"/>
  <c r="BP34" i="3"/>
  <c r="BN34" i="3"/>
  <c r="BL34" i="3"/>
  <c r="BA34" i="3"/>
  <c r="AZ34" i="3"/>
  <c r="AX34" i="3"/>
  <c r="AW34" i="3"/>
  <c r="AV34" i="3"/>
  <c r="AC34" i="3"/>
  <c r="H34" i="3"/>
  <c r="BT33" i="3"/>
  <c r="BR33" i="3"/>
  <c r="BP33" i="3"/>
  <c r="BN33" i="3"/>
  <c r="BA33" i="3"/>
  <c r="AX33" i="3"/>
  <c r="AW33" i="3"/>
  <c r="AV33" i="3"/>
  <c r="AC33" i="3"/>
  <c r="H33" i="3"/>
  <c r="G33" i="3"/>
  <c r="BT32" i="3"/>
  <c r="BR32" i="3"/>
  <c r="BP32" i="3"/>
  <c r="BN32" i="3"/>
  <c r="BL32" i="3"/>
  <c r="BA32" i="3"/>
  <c r="AX32" i="3"/>
  <c r="AW32" i="3"/>
  <c r="AV32" i="3"/>
  <c r="AC32" i="3"/>
  <c r="H32" i="3"/>
  <c r="BT31" i="3"/>
  <c r="BR31" i="3"/>
  <c r="BP31" i="3"/>
  <c r="BN31" i="3"/>
  <c r="BA31" i="3"/>
  <c r="AX31" i="3"/>
  <c r="AW31" i="3"/>
  <c r="AV31" i="3"/>
  <c r="AC31" i="3"/>
  <c r="H31" i="3"/>
  <c r="G31" i="3"/>
  <c r="BT30" i="3"/>
  <c r="BR30" i="3"/>
  <c r="BP30" i="3"/>
  <c r="BN30" i="3"/>
  <c r="BL30" i="3"/>
  <c r="BA30" i="3"/>
  <c r="AZ30" i="3"/>
  <c r="AX30" i="3"/>
  <c r="AW30" i="3"/>
  <c r="AV30" i="3"/>
  <c r="AC30" i="3"/>
  <c r="H30" i="3"/>
  <c r="G30" i="3"/>
  <c r="BT29" i="3"/>
  <c r="BR29" i="3"/>
  <c r="BP29" i="3"/>
  <c r="BN29" i="3"/>
  <c r="BL29" i="3"/>
  <c r="BA29" i="3"/>
  <c r="AX29" i="3"/>
  <c r="AW29" i="3"/>
  <c r="AV29" i="3"/>
  <c r="AC29" i="3"/>
  <c r="H29" i="3"/>
  <c r="G29" i="3"/>
  <c r="BT28" i="3"/>
  <c r="BR28" i="3"/>
  <c r="BP28" i="3"/>
  <c r="BN28" i="3"/>
  <c r="BL28" i="3"/>
  <c r="BA28" i="3"/>
  <c r="AX28" i="3"/>
  <c r="AW28" i="3"/>
  <c r="AV28" i="3"/>
  <c r="AC28" i="3"/>
  <c r="H28" i="3"/>
  <c r="BT27" i="3"/>
  <c r="BR27" i="3"/>
  <c r="BP27" i="3"/>
  <c r="BN27" i="3"/>
  <c r="BL27" i="3"/>
  <c r="AX27" i="3"/>
  <c r="AW27" i="3"/>
  <c r="AV27" i="3"/>
  <c r="AC27" i="3"/>
  <c r="H27" i="3"/>
  <c r="G27" i="3"/>
  <c r="BT26" i="3"/>
  <c r="BR26" i="3"/>
  <c r="BP26" i="3"/>
  <c r="BN26" i="3"/>
  <c r="BL26" i="3"/>
  <c r="BA26" i="3"/>
  <c r="AX26" i="3"/>
  <c r="AW26" i="3"/>
  <c r="AV26" i="3"/>
  <c r="AC26" i="3"/>
  <c r="H26" i="3"/>
  <c r="G26" i="3"/>
  <c r="BT25" i="3"/>
  <c r="BR25" i="3"/>
  <c r="BP25" i="3"/>
  <c r="BN25" i="3"/>
  <c r="BL25" i="3"/>
  <c r="BA25" i="3"/>
  <c r="AZ25" i="3"/>
  <c r="AX25" i="3"/>
  <c r="AW25" i="3"/>
  <c r="AV25" i="3"/>
  <c r="AC25" i="3"/>
  <c r="H25" i="3"/>
  <c r="G25" i="3"/>
  <c r="BT24" i="3"/>
  <c r="BR24" i="3"/>
  <c r="BP24" i="3"/>
  <c r="BN24" i="3"/>
  <c r="BL24" i="3"/>
  <c r="AX24" i="3"/>
  <c r="AW24" i="3"/>
  <c r="AV24" i="3"/>
  <c r="AC24" i="3"/>
  <c r="H24" i="3"/>
  <c r="G24" i="3"/>
  <c r="BT23" i="3"/>
  <c r="BR23" i="3"/>
  <c r="BP23" i="3"/>
  <c r="BN23" i="3"/>
  <c r="BL23" i="3"/>
  <c r="BA23" i="3"/>
  <c r="AX23" i="3"/>
  <c r="AW23" i="3"/>
  <c r="AV23" i="3"/>
  <c r="AC23" i="3"/>
  <c r="H23" i="3"/>
  <c r="G23" i="3"/>
  <c r="BT22" i="3"/>
  <c r="BR22" i="3"/>
  <c r="BP22" i="3"/>
  <c r="BN22" i="3"/>
  <c r="BL22" i="3"/>
  <c r="BA22" i="3"/>
  <c r="AZ22" i="3"/>
  <c r="AX22" i="3"/>
  <c r="AW22" i="3"/>
  <c r="AV22" i="3"/>
  <c r="AC22" i="3"/>
  <c r="H22" i="3"/>
  <c r="BT21" i="3"/>
  <c r="BR21" i="3"/>
  <c r="BP21" i="3"/>
  <c r="BN21" i="3"/>
  <c r="BL21" i="3"/>
  <c r="BA21" i="3"/>
  <c r="AX21" i="3"/>
  <c r="AW21" i="3"/>
  <c r="AV21" i="3"/>
  <c r="AC21" i="3"/>
  <c r="H21" i="3"/>
  <c r="G21" i="3"/>
  <c r="BT20" i="3"/>
  <c r="BR20" i="3"/>
  <c r="BP20" i="3"/>
  <c r="BN20" i="3"/>
  <c r="BL20" i="3"/>
  <c r="BA20" i="3"/>
  <c r="AX20" i="3"/>
  <c r="AW20" i="3"/>
  <c r="AV20" i="3"/>
  <c r="AC20" i="3"/>
  <c r="H20" i="3"/>
  <c r="G20" i="3"/>
  <c r="BT19" i="3"/>
  <c r="BR19" i="3"/>
  <c r="BP19" i="3"/>
  <c r="BN19" i="3"/>
  <c r="BL19" i="3"/>
  <c r="AX19" i="3"/>
  <c r="AW19" i="3"/>
  <c r="AV19" i="3"/>
  <c r="AC19" i="3"/>
  <c r="H19" i="3"/>
  <c r="G19" i="3"/>
  <c r="BT18" i="3"/>
  <c r="BR18" i="3"/>
  <c r="BP18" i="3"/>
  <c r="BN18" i="3"/>
  <c r="BL18" i="3"/>
  <c r="BA18" i="3"/>
  <c r="AX18" i="3"/>
  <c r="AW18" i="3"/>
  <c r="AV18" i="3"/>
  <c r="AC18" i="3"/>
  <c r="H18" i="3"/>
  <c r="G18" i="3"/>
  <c r="BT207" i="3"/>
  <c r="BR207" i="3"/>
  <c r="BP207" i="3"/>
  <c r="BN207" i="3"/>
  <c r="BL207" i="3"/>
  <c r="BA207" i="3"/>
  <c r="AZ207" i="3"/>
  <c r="AX207" i="3"/>
  <c r="AW207" i="3"/>
  <c r="AV207" i="3"/>
  <c r="AC207" i="3"/>
  <c r="H207" i="3"/>
  <c r="BT206" i="3"/>
  <c r="BR206" i="3"/>
  <c r="BP206" i="3"/>
  <c r="BN206" i="3"/>
  <c r="BL206" i="3"/>
  <c r="BA206" i="3"/>
  <c r="AX206" i="3"/>
  <c r="AW206" i="3"/>
  <c r="AV206" i="3"/>
  <c r="AC206" i="3"/>
  <c r="H206" i="3"/>
  <c r="G206" i="3"/>
  <c r="BT205" i="3"/>
  <c r="BR205" i="3"/>
  <c r="BP205" i="3"/>
  <c r="BN205" i="3"/>
  <c r="BL205" i="3"/>
  <c r="BA205" i="3"/>
  <c r="AZ205" i="3"/>
  <c r="AX205" i="3"/>
  <c r="AW205" i="3"/>
  <c r="AV205" i="3"/>
  <c r="AC205" i="3"/>
  <c r="H205" i="3"/>
  <c r="G205" i="3"/>
  <c r="BT204" i="3"/>
  <c r="BR204" i="3"/>
  <c r="BP204" i="3"/>
  <c r="BN204" i="3"/>
  <c r="BA204" i="3"/>
  <c r="AX204" i="3"/>
  <c r="AW204" i="3"/>
  <c r="AV204" i="3"/>
  <c r="AC204" i="3"/>
  <c r="H204" i="3"/>
  <c r="G204" i="3"/>
  <c r="BT203" i="3"/>
  <c r="BR203" i="3"/>
  <c r="BP203" i="3"/>
  <c r="BN203" i="3"/>
  <c r="BL203" i="3"/>
  <c r="AX203" i="3"/>
  <c r="AW203" i="3"/>
  <c r="AV203" i="3"/>
  <c r="AC203" i="3"/>
  <c r="H203" i="3"/>
  <c r="G203" i="3"/>
  <c r="BT202" i="3"/>
  <c r="BR202" i="3"/>
  <c r="BP202" i="3"/>
  <c r="BN202" i="3"/>
  <c r="BA202" i="3"/>
  <c r="AX202" i="3"/>
  <c r="AW202" i="3"/>
  <c r="AV202" i="3"/>
  <c r="AC202" i="3"/>
  <c r="H202" i="3"/>
  <c r="G202" i="3"/>
  <c r="BT201" i="3"/>
  <c r="BR201" i="3"/>
  <c r="BP201" i="3"/>
  <c r="BN201" i="3"/>
  <c r="BL201" i="3"/>
  <c r="BA201" i="3"/>
  <c r="AZ201" i="3"/>
  <c r="AX201" i="3"/>
  <c r="AW201" i="3"/>
  <c r="AV201" i="3"/>
  <c r="AC201" i="3"/>
  <c r="H201" i="3"/>
  <c r="BT200" i="3"/>
  <c r="BR200" i="3"/>
  <c r="BP200" i="3"/>
  <c r="BN200" i="3"/>
  <c r="BA200" i="3"/>
  <c r="AX200" i="3"/>
  <c r="AW200" i="3"/>
  <c r="AV200" i="3"/>
  <c r="AC200" i="3"/>
  <c r="H200" i="3"/>
  <c r="BT199" i="3"/>
  <c r="BR199" i="3"/>
  <c r="BP199" i="3"/>
  <c r="BN199" i="3"/>
  <c r="BL199" i="3"/>
  <c r="AX199" i="3"/>
  <c r="AW199" i="3"/>
  <c r="AV199" i="3"/>
  <c r="AC199" i="3"/>
  <c r="H199" i="3"/>
  <c r="G199" i="3"/>
  <c r="BT198" i="3"/>
  <c r="BR198" i="3"/>
  <c r="BP198" i="3"/>
  <c r="BN198" i="3"/>
  <c r="BL198" i="3"/>
  <c r="BA198" i="3"/>
  <c r="AX198" i="3"/>
  <c r="AW198" i="3"/>
  <c r="AV198" i="3"/>
  <c r="AC198" i="3"/>
  <c r="H198" i="3"/>
  <c r="G198" i="3"/>
  <c r="BT197" i="3"/>
  <c r="BR197" i="3"/>
  <c r="BP197" i="3"/>
  <c r="BN197" i="3"/>
  <c r="BL197" i="3"/>
  <c r="BA197" i="3"/>
  <c r="AX197" i="3"/>
  <c r="AW197" i="3"/>
  <c r="AV197" i="3"/>
  <c r="AC197" i="3"/>
  <c r="H197" i="3"/>
  <c r="BT196" i="3"/>
  <c r="BR196" i="3"/>
  <c r="BP196" i="3"/>
  <c r="BN196" i="3"/>
  <c r="BA196" i="3"/>
  <c r="AX196" i="3"/>
  <c r="AW196" i="3"/>
  <c r="AV196" i="3"/>
  <c r="AC196" i="3"/>
  <c r="H196" i="3"/>
  <c r="G196" i="3"/>
  <c r="BT195" i="3"/>
  <c r="BR195" i="3"/>
  <c r="BP195" i="3"/>
  <c r="BN195" i="3"/>
  <c r="BL195" i="3"/>
  <c r="AX195" i="3"/>
  <c r="AW195" i="3"/>
  <c r="AV195" i="3"/>
  <c r="AC195" i="3"/>
  <c r="H195" i="3"/>
  <c r="G195" i="3"/>
  <c r="BT194" i="3"/>
  <c r="BR194" i="3"/>
  <c r="BP194" i="3"/>
  <c r="BN194" i="3"/>
  <c r="BL194" i="3"/>
  <c r="BA194" i="3"/>
  <c r="AX194" i="3"/>
  <c r="AW194" i="3"/>
  <c r="AV194" i="3"/>
  <c r="AC194" i="3"/>
  <c r="H194" i="3"/>
  <c r="G194" i="3"/>
  <c r="BT193" i="3"/>
  <c r="BR193" i="3"/>
  <c r="BP193" i="3"/>
  <c r="BN193" i="3"/>
  <c r="BL193" i="3"/>
  <c r="AX193" i="3"/>
  <c r="AW193" i="3"/>
  <c r="AV193" i="3"/>
  <c r="AC193" i="3"/>
  <c r="H193" i="3"/>
  <c r="BT192" i="3"/>
  <c r="BR192" i="3"/>
  <c r="BP192" i="3"/>
  <c r="BN192" i="3"/>
  <c r="BA192" i="3"/>
  <c r="AX192" i="3"/>
  <c r="AW192" i="3"/>
  <c r="AV192" i="3"/>
  <c r="AC192" i="3"/>
  <c r="H192" i="3"/>
  <c r="G192" i="3"/>
  <c r="BT191" i="3"/>
  <c r="BR191" i="3"/>
  <c r="BP191" i="3"/>
  <c r="BN191" i="3"/>
  <c r="AX191" i="3"/>
  <c r="AW191" i="3"/>
  <c r="AV191" i="3"/>
  <c r="AC191" i="3"/>
  <c r="H191" i="3"/>
  <c r="G191" i="3"/>
  <c r="BT190" i="3"/>
  <c r="BR190" i="3"/>
  <c r="BP190" i="3"/>
  <c r="BN190" i="3"/>
  <c r="BL190" i="3"/>
  <c r="BA190" i="3"/>
  <c r="AX190" i="3"/>
  <c r="AW190" i="3"/>
  <c r="AV190" i="3"/>
  <c r="AC190" i="3"/>
  <c r="H190" i="3"/>
  <c r="G190" i="3"/>
  <c r="BT189" i="3"/>
  <c r="BR189" i="3"/>
  <c r="BP189" i="3"/>
  <c r="BN189" i="3"/>
  <c r="BL189" i="3"/>
  <c r="BA189" i="3"/>
  <c r="AX189" i="3"/>
  <c r="AW189" i="3"/>
  <c r="AV189" i="3"/>
  <c r="AC189" i="3"/>
  <c r="H189" i="3"/>
  <c r="BT188" i="3"/>
  <c r="BR188" i="3"/>
  <c r="BP188" i="3"/>
  <c r="BN188" i="3"/>
  <c r="BA188" i="3"/>
  <c r="AX188" i="3"/>
  <c r="AW188" i="3"/>
  <c r="AV188" i="3"/>
  <c r="AC188" i="3"/>
  <c r="H188" i="3"/>
  <c r="BT187" i="3"/>
  <c r="BR187" i="3"/>
  <c r="BP187" i="3"/>
  <c r="BN187" i="3"/>
  <c r="BL187" i="3"/>
  <c r="AX187" i="3"/>
  <c r="AW187" i="3"/>
  <c r="AV187" i="3"/>
  <c r="AC187" i="3"/>
  <c r="H187" i="3"/>
  <c r="G187" i="3"/>
  <c r="BT186" i="3"/>
  <c r="BR186" i="3"/>
  <c r="BP186" i="3"/>
  <c r="BN186" i="3"/>
  <c r="BL186" i="3"/>
  <c r="BA186" i="3"/>
  <c r="AX186" i="3"/>
  <c r="AW186" i="3"/>
  <c r="AV186" i="3"/>
  <c r="AC186" i="3"/>
  <c r="H186" i="3"/>
  <c r="G186" i="3"/>
  <c r="BT185" i="3"/>
  <c r="BR185" i="3"/>
  <c r="BP185" i="3"/>
  <c r="BN185" i="3"/>
  <c r="BA185" i="3"/>
  <c r="AX185" i="3"/>
  <c r="AW185" i="3"/>
  <c r="AV185" i="3"/>
  <c r="AC185" i="3"/>
  <c r="H185" i="3"/>
  <c r="BT184" i="3"/>
  <c r="BR184" i="3"/>
  <c r="BP184" i="3"/>
  <c r="BN184" i="3"/>
  <c r="BA184" i="3"/>
  <c r="AX184" i="3"/>
  <c r="AW184" i="3"/>
  <c r="AV184" i="3"/>
  <c r="AC184" i="3"/>
  <c r="H184" i="3"/>
  <c r="G184" i="3"/>
  <c r="BT183" i="3"/>
  <c r="BR183" i="3"/>
  <c r="BP183" i="3"/>
  <c r="BN183" i="3"/>
  <c r="BL183" i="3"/>
  <c r="AX183" i="3"/>
  <c r="AW183" i="3"/>
  <c r="AV183" i="3"/>
  <c r="AC183" i="3"/>
  <c r="H183" i="3"/>
  <c r="G183" i="3"/>
  <c r="BT182" i="3"/>
  <c r="BR182" i="3"/>
  <c r="BP182" i="3"/>
  <c r="BN182" i="3"/>
  <c r="BA182" i="3"/>
  <c r="AX182" i="3"/>
  <c r="AW182" i="3"/>
  <c r="AV182" i="3"/>
  <c r="AC182" i="3"/>
  <c r="H182" i="3"/>
  <c r="G182" i="3"/>
  <c r="BT181" i="3"/>
  <c r="BR181" i="3"/>
  <c r="BP181" i="3"/>
  <c r="BN181" i="3"/>
  <c r="BL181" i="3"/>
  <c r="BA181" i="3"/>
  <c r="AX181" i="3"/>
  <c r="AW181" i="3"/>
  <c r="AV181" i="3"/>
  <c r="AC181" i="3"/>
  <c r="H181" i="3"/>
  <c r="BT180" i="3"/>
  <c r="BR180" i="3"/>
  <c r="BP180" i="3"/>
  <c r="BN180" i="3"/>
  <c r="BA180" i="3"/>
  <c r="AX180" i="3"/>
  <c r="AW180" i="3"/>
  <c r="AV180" i="3"/>
  <c r="AC180" i="3"/>
  <c r="H180" i="3"/>
  <c r="G180" i="3"/>
  <c r="BT179" i="3"/>
  <c r="BR179" i="3"/>
  <c r="BP179" i="3"/>
  <c r="BN179" i="3"/>
  <c r="AX179" i="3"/>
  <c r="AW179" i="3"/>
  <c r="AV179" i="3"/>
  <c r="AC179" i="3"/>
  <c r="H179" i="3"/>
  <c r="G179" i="3"/>
  <c r="BT178" i="3"/>
  <c r="BR178" i="3"/>
  <c r="BP178" i="3"/>
  <c r="BN178" i="3"/>
  <c r="BL178" i="3"/>
  <c r="BA178" i="3"/>
  <c r="AX178" i="3"/>
  <c r="AW178" i="3"/>
  <c r="AV178" i="3"/>
  <c r="AC178" i="3"/>
  <c r="H178" i="3"/>
  <c r="G178" i="3"/>
  <c r="BT177" i="3"/>
  <c r="BR177" i="3"/>
  <c r="BP177" i="3"/>
  <c r="BN177" i="3"/>
  <c r="BL177" i="3"/>
  <c r="BA177" i="3"/>
  <c r="AZ177" i="3"/>
  <c r="AX177" i="3"/>
  <c r="AW177" i="3"/>
  <c r="AV177" i="3"/>
  <c r="AC177" i="3"/>
  <c r="H177" i="3"/>
  <c r="BT176" i="3"/>
  <c r="BR176" i="3"/>
  <c r="BP176" i="3"/>
  <c r="BN176" i="3"/>
  <c r="BA176" i="3"/>
  <c r="AX176" i="3"/>
  <c r="AW176" i="3"/>
  <c r="AV176" i="3"/>
  <c r="AC176" i="3"/>
  <c r="H176" i="3"/>
  <c r="G176" i="3"/>
  <c r="BT175" i="3"/>
  <c r="BR175" i="3"/>
  <c r="BP175" i="3"/>
  <c r="BN175" i="3"/>
  <c r="BL175" i="3"/>
  <c r="AX175" i="3"/>
  <c r="AW175" i="3"/>
  <c r="AV175" i="3"/>
  <c r="AC175" i="3"/>
  <c r="H175" i="3"/>
  <c r="G175" i="3"/>
  <c r="BT174" i="3"/>
  <c r="BR174" i="3"/>
  <c r="BP174" i="3"/>
  <c r="BN174" i="3"/>
  <c r="BL174" i="3"/>
  <c r="BA174" i="3"/>
  <c r="AX174" i="3"/>
  <c r="AW174" i="3"/>
  <c r="AV174" i="3"/>
  <c r="AC174" i="3"/>
  <c r="H174" i="3"/>
  <c r="G174" i="3"/>
  <c r="BT173" i="3"/>
  <c r="BR173" i="3"/>
  <c r="BP173" i="3"/>
  <c r="BN173" i="3"/>
  <c r="BL173" i="3"/>
  <c r="BA173" i="3"/>
  <c r="AX173" i="3"/>
  <c r="AW173" i="3"/>
  <c r="AV173" i="3"/>
  <c r="AC173" i="3"/>
  <c r="H173" i="3"/>
  <c r="BT172" i="3"/>
  <c r="BR172" i="3"/>
  <c r="BP172" i="3"/>
  <c r="BN172" i="3"/>
  <c r="BA172" i="3"/>
  <c r="AX172" i="3"/>
  <c r="AW172" i="3"/>
  <c r="AV172" i="3"/>
  <c r="AC172" i="3"/>
  <c r="H172" i="3"/>
  <c r="G172" i="3"/>
  <c r="BT171" i="3"/>
  <c r="BR171" i="3"/>
  <c r="BP171" i="3"/>
  <c r="BN171" i="3"/>
  <c r="BL171" i="3"/>
  <c r="AX171" i="3"/>
  <c r="AW171" i="3"/>
  <c r="AV171" i="3"/>
  <c r="AC171" i="3"/>
  <c r="H171" i="3"/>
  <c r="G171" i="3"/>
  <c r="BT170" i="3"/>
  <c r="BR170" i="3"/>
  <c r="BP170" i="3"/>
  <c r="BN170" i="3"/>
  <c r="BL170" i="3"/>
  <c r="BA170" i="3"/>
  <c r="AX170" i="3"/>
  <c r="AW170" i="3"/>
  <c r="AV170" i="3"/>
  <c r="AC170" i="3"/>
  <c r="H170" i="3"/>
  <c r="G170" i="3"/>
  <c r="BT169" i="3"/>
  <c r="BR169" i="3"/>
  <c r="BP169" i="3"/>
  <c r="BN169" i="3"/>
  <c r="BL169" i="3"/>
  <c r="BA169" i="3"/>
  <c r="AX169" i="3"/>
  <c r="AW169" i="3"/>
  <c r="AV169" i="3"/>
  <c r="AC169" i="3"/>
  <c r="H169" i="3"/>
  <c r="BT168" i="3"/>
  <c r="BR168" i="3"/>
  <c r="BP168" i="3"/>
  <c r="BN168" i="3"/>
  <c r="BA168" i="3"/>
  <c r="AX168" i="3"/>
  <c r="AW168" i="3"/>
  <c r="AV168" i="3"/>
  <c r="AC168" i="3"/>
  <c r="H168" i="3"/>
  <c r="G168" i="3"/>
  <c r="BT167" i="3"/>
  <c r="BR167" i="3"/>
  <c r="BP167" i="3"/>
  <c r="BN167" i="3"/>
  <c r="BL167" i="3"/>
  <c r="AX167" i="3"/>
  <c r="AW167" i="3"/>
  <c r="AV167" i="3"/>
  <c r="AC167" i="3"/>
  <c r="H167" i="3"/>
  <c r="G167" i="3"/>
  <c r="BT166" i="3"/>
  <c r="BR166" i="3"/>
  <c r="BP166" i="3"/>
  <c r="BN166" i="3"/>
  <c r="BL166" i="3"/>
  <c r="BA166" i="3"/>
  <c r="AX166" i="3"/>
  <c r="AW166" i="3"/>
  <c r="AV166" i="3"/>
  <c r="AC166" i="3"/>
  <c r="H166" i="3"/>
  <c r="G166" i="3"/>
  <c r="BT165" i="3"/>
  <c r="BR165" i="3"/>
  <c r="BP165" i="3"/>
  <c r="BN165" i="3"/>
  <c r="BL165" i="3"/>
  <c r="BA165" i="3"/>
  <c r="AX165" i="3"/>
  <c r="AW165" i="3"/>
  <c r="AV165" i="3"/>
  <c r="AC165" i="3"/>
  <c r="H165" i="3"/>
  <c r="BT164" i="3"/>
  <c r="BR164" i="3"/>
  <c r="BP164" i="3"/>
  <c r="BN164" i="3"/>
  <c r="BA164" i="3"/>
  <c r="AX164" i="3"/>
  <c r="AW164" i="3"/>
  <c r="AV164" i="3"/>
  <c r="AC164" i="3"/>
  <c r="H164" i="3"/>
  <c r="G164" i="3"/>
  <c r="BT163" i="3"/>
  <c r="BR163" i="3"/>
  <c r="BP163" i="3"/>
  <c r="BN163" i="3"/>
  <c r="BL163" i="3"/>
  <c r="AX163" i="3"/>
  <c r="AW163" i="3"/>
  <c r="AV163" i="3"/>
  <c r="AC163" i="3"/>
  <c r="H163" i="3"/>
  <c r="G163" i="3"/>
  <c r="BT162" i="3"/>
  <c r="BR162" i="3"/>
  <c r="BP162" i="3"/>
  <c r="BN162" i="3"/>
  <c r="BL162" i="3"/>
  <c r="BA162" i="3"/>
  <c r="AX162" i="3"/>
  <c r="AW162" i="3"/>
  <c r="AV162" i="3"/>
  <c r="AC162" i="3"/>
  <c r="H162" i="3"/>
  <c r="G162" i="3"/>
  <c r="BT161" i="3"/>
  <c r="BR161" i="3"/>
  <c r="BP161" i="3"/>
  <c r="BN161" i="3"/>
  <c r="BL161" i="3"/>
  <c r="BA161" i="3"/>
  <c r="AX161" i="3"/>
  <c r="AW161" i="3"/>
  <c r="AV161" i="3"/>
  <c r="AC161" i="3"/>
  <c r="H161" i="3"/>
  <c r="BT160" i="3"/>
  <c r="BR160" i="3"/>
  <c r="BP160" i="3"/>
  <c r="BN160" i="3"/>
  <c r="BA160" i="3"/>
  <c r="AX160" i="3"/>
  <c r="AW160" i="3"/>
  <c r="AV160" i="3"/>
  <c r="AC160" i="3"/>
  <c r="H160" i="3"/>
  <c r="G160" i="3"/>
  <c r="BT159" i="3"/>
  <c r="BR159" i="3"/>
  <c r="BP159" i="3"/>
  <c r="BN159" i="3"/>
  <c r="BL159" i="3"/>
  <c r="AX159" i="3"/>
  <c r="AW159" i="3"/>
  <c r="AV159" i="3"/>
  <c r="AC159" i="3"/>
  <c r="H159" i="3"/>
  <c r="G159" i="3"/>
  <c r="BT158" i="3"/>
  <c r="BR158" i="3"/>
  <c r="BP158" i="3"/>
  <c r="BN158" i="3"/>
  <c r="BL158" i="3"/>
  <c r="BA158" i="3"/>
  <c r="AX158" i="3"/>
  <c r="AW158" i="3"/>
  <c r="AV158" i="3"/>
  <c r="AC158" i="3"/>
  <c r="H158" i="3"/>
  <c r="G158" i="3"/>
  <c r="BT157" i="3"/>
  <c r="BR157" i="3"/>
  <c r="BP157" i="3"/>
  <c r="BN157" i="3"/>
  <c r="BL157" i="3"/>
  <c r="BA157" i="3"/>
  <c r="AX157" i="3"/>
  <c r="AW157" i="3"/>
  <c r="AV157" i="3"/>
  <c r="AC157" i="3"/>
  <c r="H157" i="3"/>
  <c r="BT156" i="3"/>
  <c r="BR156" i="3"/>
  <c r="BP156" i="3"/>
  <c r="BN156" i="3"/>
  <c r="BA156" i="3"/>
  <c r="AX156" i="3"/>
  <c r="AW156" i="3"/>
  <c r="AV156" i="3"/>
  <c r="AC156" i="3"/>
  <c r="H156" i="3"/>
  <c r="G156" i="3"/>
  <c r="BT155" i="3"/>
  <c r="BR155" i="3"/>
  <c r="BP155" i="3"/>
  <c r="BN155" i="3"/>
  <c r="BL155" i="3"/>
  <c r="AX155" i="3"/>
  <c r="AW155" i="3"/>
  <c r="AV155" i="3"/>
  <c r="AC155" i="3"/>
  <c r="H155" i="3"/>
  <c r="G155" i="3"/>
  <c r="BT154" i="3"/>
  <c r="BR154" i="3"/>
  <c r="BP154" i="3"/>
  <c r="BN154" i="3"/>
  <c r="BL154" i="3"/>
  <c r="BA154" i="3"/>
  <c r="AX154" i="3"/>
  <c r="AW154" i="3"/>
  <c r="AV154" i="3"/>
  <c r="AC154" i="3"/>
  <c r="H154" i="3"/>
  <c r="G154" i="3"/>
  <c r="BT153" i="3"/>
  <c r="BR153" i="3"/>
  <c r="BP153" i="3"/>
  <c r="BN153" i="3"/>
  <c r="BL153" i="3"/>
  <c r="BA153" i="3"/>
  <c r="AZ153" i="3"/>
  <c r="AX153" i="3"/>
  <c r="AW153" i="3"/>
  <c r="AV153" i="3"/>
  <c r="AC153" i="3"/>
  <c r="H153" i="3"/>
  <c r="BT152" i="3"/>
  <c r="BR152" i="3"/>
  <c r="BP152" i="3"/>
  <c r="BN152" i="3"/>
  <c r="BA152" i="3"/>
  <c r="AX152" i="3"/>
  <c r="AW152" i="3"/>
  <c r="AV152" i="3"/>
  <c r="AC152" i="3"/>
  <c r="H152" i="3"/>
  <c r="G152" i="3"/>
  <c r="BT151" i="3"/>
  <c r="BR151" i="3"/>
  <c r="BP151" i="3"/>
  <c r="BN151" i="3"/>
  <c r="BL151" i="3"/>
  <c r="AX151" i="3"/>
  <c r="AW151" i="3"/>
  <c r="AV151" i="3"/>
  <c r="AC151" i="3"/>
  <c r="H151" i="3"/>
  <c r="G151" i="3"/>
  <c r="BT150" i="3"/>
  <c r="BR150" i="3"/>
  <c r="BP150" i="3"/>
  <c r="BN150" i="3"/>
  <c r="BL150" i="3"/>
  <c r="BA150" i="3"/>
  <c r="AX150" i="3"/>
  <c r="AW150" i="3"/>
  <c r="AV150" i="3"/>
  <c r="AC150" i="3"/>
  <c r="H150" i="3"/>
  <c r="G150" i="3"/>
  <c r="BT149" i="3"/>
  <c r="BR149" i="3"/>
  <c r="BP149" i="3"/>
  <c r="BN149" i="3"/>
  <c r="BL149" i="3"/>
  <c r="BA149" i="3"/>
  <c r="AX149" i="3"/>
  <c r="AW149" i="3"/>
  <c r="AV149" i="3"/>
  <c r="AC149" i="3"/>
  <c r="H149" i="3"/>
  <c r="BT148" i="3"/>
  <c r="BR148" i="3"/>
  <c r="BP148" i="3"/>
  <c r="BN148" i="3"/>
  <c r="BA148" i="3"/>
  <c r="AX148" i="3"/>
  <c r="AW148" i="3"/>
  <c r="AV148" i="3"/>
  <c r="AC148" i="3"/>
  <c r="H148" i="3"/>
  <c r="G148" i="3"/>
  <c r="BT147" i="3"/>
  <c r="BR147" i="3"/>
  <c r="BP147" i="3"/>
  <c r="BN147" i="3"/>
  <c r="BL147" i="3"/>
  <c r="AX147" i="3"/>
  <c r="AW147" i="3"/>
  <c r="AV147" i="3"/>
  <c r="AC147" i="3"/>
  <c r="H147" i="3"/>
  <c r="G147" i="3"/>
  <c r="BT146" i="3"/>
  <c r="BR146" i="3"/>
  <c r="BP146" i="3"/>
  <c r="BN146" i="3"/>
  <c r="BL146" i="3"/>
  <c r="BA146" i="3"/>
  <c r="AX146" i="3"/>
  <c r="AW146" i="3"/>
  <c r="AV146" i="3"/>
  <c r="AC146" i="3"/>
  <c r="H146" i="3"/>
  <c r="G146" i="3"/>
  <c r="BT145" i="3"/>
  <c r="BR145" i="3"/>
  <c r="BP145" i="3"/>
  <c r="BN145" i="3"/>
  <c r="BL145" i="3"/>
  <c r="BA145" i="3"/>
  <c r="AZ145" i="3"/>
  <c r="AX145" i="3"/>
  <c r="AW145" i="3"/>
  <c r="AV145" i="3"/>
  <c r="AC145" i="3"/>
  <c r="H145" i="3"/>
  <c r="BT144" i="3"/>
  <c r="BR144" i="3"/>
  <c r="BP144" i="3"/>
  <c r="BN144" i="3"/>
  <c r="BA144" i="3"/>
  <c r="AX144" i="3"/>
  <c r="AW144" i="3"/>
  <c r="AV144" i="3"/>
  <c r="AC144" i="3"/>
  <c r="H144" i="3"/>
  <c r="G144" i="3"/>
  <c r="BT143" i="3"/>
  <c r="BR143" i="3"/>
  <c r="BP143" i="3"/>
  <c r="BN143" i="3"/>
  <c r="BL143" i="3"/>
  <c r="AX143" i="3"/>
  <c r="AW143" i="3"/>
  <c r="AV143" i="3"/>
  <c r="AC143" i="3"/>
  <c r="H143" i="3"/>
  <c r="G143" i="3"/>
  <c r="BT142" i="3"/>
  <c r="BR142" i="3"/>
  <c r="BP142" i="3"/>
  <c r="BN142" i="3"/>
  <c r="BL142" i="3"/>
  <c r="BA142" i="3"/>
  <c r="AX142" i="3"/>
  <c r="AW142" i="3"/>
  <c r="AV142" i="3"/>
  <c r="AC142" i="3"/>
  <c r="H142" i="3"/>
  <c r="G142" i="3"/>
  <c r="BT141" i="3"/>
  <c r="BR141" i="3"/>
  <c r="BP141" i="3"/>
  <c r="BN141" i="3"/>
  <c r="BL141" i="3"/>
  <c r="BA141" i="3"/>
  <c r="AX141" i="3"/>
  <c r="AW141" i="3"/>
  <c r="AV141" i="3"/>
  <c r="AC141" i="3"/>
  <c r="H141" i="3"/>
  <c r="BT140" i="3"/>
  <c r="BR140" i="3"/>
  <c r="BP140" i="3"/>
  <c r="BN140" i="3"/>
  <c r="BA140" i="3"/>
  <c r="AX140" i="3"/>
  <c r="AW140" i="3"/>
  <c r="AV140" i="3"/>
  <c r="AC140" i="3"/>
  <c r="H140" i="3"/>
  <c r="G140" i="3"/>
  <c r="BT139" i="3"/>
  <c r="BR139" i="3"/>
  <c r="BP139" i="3"/>
  <c r="BN139" i="3"/>
  <c r="BL139" i="3"/>
  <c r="AX139" i="3"/>
  <c r="AW139" i="3"/>
  <c r="AV139" i="3"/>
  <c r="AC139" i="3"/>
  <c r="H139" i="3"/>
  <c r="G139" i="3"/>
  <c r="BT138" i="3"/>
  <c r="BR138" i="3"/>
  <c r="BP138" i="3"/>
  <c r="BN138" i="3"/>
  <c r="BL138" i="3"/>
  <c r="BA138" i="3"/>
  <c r="AX138" i="3"/>
  <c r="AW138" i="3"/>
  <c r="AV138" i="3"/>
  <c r="AC138" i="3"/>
  <c r="H138" i="3"/>
  <c r="G138" i="3"/>
  <c r="BT137" i="3"/>
  <c r="BR137" i="3"/>
  <c r="BP137" i="3"/>
  <c r="BN137" i="3"/>
  <c r="BL137" i="3"/>
  <c r="BA137" i="3"/>
  <c r="AZ137" i="3"/>
  <c r="AX137" i="3"/>
  <c r="AW137" i="3"/>
  <c r="AV137" i="3"/>
  <c r="AC137" i="3"/>
  <c r="H137" i="3"/>
  <c r="BT136" i="3"/>
  <c r="BR136" i="3"/>
  <c r="BP136" i="3"/>
  <c r="BN136" i="3"/>
  <c r="BA136" i="3"/>
  <c r="AX136" i="3"/>
  <c r="AW136" i="3"/>
  <c r="AV136" i="3"/>
  <c r="AC136" i="3"/>
  <c r="H136" i="3"/>
  <c r="G136" i="3"/>
  <c r="BT135" i="3"/>
  <c r="BR135" i="3"/>
  <c r="BP135" i="3"/>
  <c r="BN135" i="3"/>
  <c r="BL135" i="3"/>
  <c r="AX135" i="3"/>
  <c r="AW135" i="3"/>
  <c r="AV135" i="3"/>
  <c r="AC135" i="3"/>
  <c r="H135" i="3"/>
  <c r="G135" i="3"/>
  <c r="BT134" i="3"/>
  <c r="BR134" i="3"/>
  <c r="BP134" i="3"/>
  <c r="BN134" i="3"/>
  <c r="BL134" i="3"/>
  <c r="BA134" i="3"/>
  <c r="AZ134" i="3"/>
  <c r="AX134" i="3"/>
  <c r="AW134" i="3"/>
  <c r="AV134" i="3"/>
  <c r="AC134" i="3"/>
  <c r="H134" i="3"/>
  <c r="G134" i="3"/>
  <c r="BT133" i="3"/>
  <c r="BR133" i="3"/>
  <c r="BP133" i="3"/>
  <c r="BN133" i="3"/>
  <c r="BL133" i="3"/>
  <c r="BA133" i="3"/>
  <c r="AX133" i="3"/>
  <c r="AW133" i="3"/>
  <c r="AV133" i="3"/>
  <c r="AC133" i="3"/>
  <c r="H133" i="3"/>
  <c r="BT132" i="3"/>
  <c r="BR132" i="3"/>
  <c r="BP132" i="3"/>
  <c r="BN132" i="3"/>
  <c r="BA132" i="3"/>
  <c r="AX132" i="3"/>
  <c r="AW132" i="3"/>
  <c r="AV132" i="3"/>
  <c r="AC132" i="3"/>
  <c r="H132" i="3"/>
  <c r="G132" i="3"/>
  <c r="BT131" i="3"/>
  <c r="BR131" i="3"/>
  <c r="BP131" i="3"/>
  <c r="BN131" i="3"/>
  <c r="BL131" i="3"/>
  <c r="AX131" i="3"/>
  <c r="AW131" i="3"/>
  <c r="AV131" i="3"/>
  <c r="AC131" i="3"/>
  <c r="H131" i="3"/>
  <c r="G131" i="3"/>
  <c r="BT130" i="3"/>
  <c r="BR130" i="3"/>
  <c r="BP130" i="3"/>
  <c r="BN130" i="3"/>
  <c r="BL130" i="3"/>
  <c r="BA130" i="3"/>
  <c r="AX130" i="3"/>
  <c r="AW130" i="3"/>
  <c r="AV130" i="3"/>
  <c r="AC130" i="3"/>
  <c r="H130" i="3"/>
  <c r="G130" i="3"/>
  <c r="BT129" i="3"/>
  <c r="BR129" i="3"/>
  <c r="BP129" i="3"/>
  <c r="BN129" i="3"/>
  <c r="BL129" i="3"/>
  <c r="BA129" i="3"/>
  <c r="AZ129" i="3"/>
  <c r="AX129" i="3"/>
  <c r="AW129" i="3"/>
  <c r="AV129" i="3"/>
  <c r="AC129" i="3"/>
  <c r="H129" i="3"/>
  <c r="BT128" i="3"/>
  <c r="BR128" i="3"/>
  <c r="BP128" i="3"/>
  <c r="BN128" i="3"/>
  <c r="BA128" i="3"/>
  <c r="AX128" i="3"/>
  <c r="AW128" i="3"/>
  <c r="AV128" i="3"/>
  <c r="AC128" i="3"/>
  <c r="H128" i="3"/>
  <c r="G128" i="3"/>
  <c r="BT127" i="3"/>
  <c r="BR127" i="3"/>
  <c r="BP127" i="3"/>
  <c r="BN127" i="3"/>
  <c r="BL127" i="3"/>
  <c r="AX127" i="3"/>
  <c r="AW127" i="3"/>
  <c r="AV127" i="3"/>
  <c r="AC127" i="3"/>
  <c r="H127" i="3"/>
  <c r="G127" i="3"/>
  <c r="BT126" i="3"/>
  <c r="BR126" i="3"/>
  <c r="BP126" i="3"/>
  <c r="BN126" i="3"/>
  <c r="BL126" i="3"/>
  <c r="BA126" i="3"/>
  <c r="AZ126" i="3"/>
  <c r="AX126" i="3"/>
  <c r="AW126" i="3"/>
  <c r="AV126" i="3"/>
  <c r="AC126" i="3"/>
  <c r="H126" i="3"/>
  <c r="G126" i="3"/>
  <c r="BT125" i="3"/>
  <c r="BR125" i="3"/>
  <c r="BP125" i="3"/>
  <c r="BN125" i="3"/>
  <c r="BL125" i="3"/>
  <c r="BA125" i="3"/>
  <c r="AZ125" i="3"/>
  <c r="AX125" i="3"/>
  <c r="AW125" i="3"/>
  <c r="AV125" i="3"/>
  <c r="AC125" i="3"/>
  <c r="H125" i="3"/>
  <c r="BT124" i="3"/>
  <c r="BR124" i="3"/>
  <c r="BP124" i="3"/>
  <c r="BN124" i="3"/>
  <c r="BA124" i="3"/>
  <c r="AX124" i="3"/>
  <c r="AW124" i="3"/>
  <c r="AV124" i="3"/>
  <c r="AC124" i="3"/>
  <c r="H124" i="3"/>
  <c r="G124" i="3"/>
  <c r="BT123" i="3"/>
  <c r="BR123" i="3"/>
  <c r="BP123" i="3"/>
  <c r="BN123" i="3"/>
  <c r="BL123" i="3"/>
  <c r="AX123" i="3"/>
  <c r="AW123" i="3"/>
  <c r="AV123" i="3"/>
  <c r="AC123" i="3"/>
  <c r="H123" i="3"/>
  <c r="G123" i="3"/>
  <c r="BT122" i="3"/>
  <c r="BR122" i="3"/>
  <c r="BP122" i="3"/>
  <c r="BN122" i="3"/>
  <c r="BL122" i="3"/>
  <c r="BA122" i="3"/>
  <c r="AX122" i="3"/>
  <c r="AW122" i="3"/>
  <c r="AV122" i="3"/>
  <c r="AC122" i="3"/>
  <c r="H122" i="3"/>
  <c r="G122" i="3"/>
  <c r="BT121" i="3"/>
  <c r="BR121" i="3"/>
  <c r="BP121" i="3"/>
  <c r="BN121" i="3"/>
  <c r="BL121" i="3"/>
  <c r="BA121" i="3"/>
  <c r="AX121" i="3"/>
  <c r="AW121" i="3"/>
  <c r="AV121" i="3"/>
  <c r="AC121" i="3"/>
  <c r="H121" i="3"/>
  <c r="BT120" i="3"/>
  <c r="BR120" i="3"/>
  <c r="BP120" i="3"/>
  <c r="BN120" i="3"/>
  <c r="BA120" i="3"/>
  <c r="AX120" i="3"/>
  <c r="AW120" i="3"/>
  <c r="AV120" i="3"/>
  <c r="AC120" i="3"/>
  <c r="H120" i="3"/>
  <c r="G120" i="3"/>
  <c r="BT119" i="3"/>
  <c r="BR119" i="3"/>
  <c r="BP119" i="3"/>
  <c r="BN119" i="3"/>
  <c r="BL119" i="3"/>
  <c r="AX119" i="3"/>
  <c r="AW119" i="3"/>
  <c r="AV119" i="3"/>
  <c r="AC119" i="3"/>
  <c r="H119" i="3"/>
  <c r="G119" i="3"/>
  <c r="BT118" i="3"/>
  <c r="BR118" i="3"/>
  <c r="BP118" i="3"/>
  <c r="BN118" i="3"/>
  <c r="BL118" i="3"/>
  <c r="BA118" i="3"/>
  <c r="AX118" i="3"/>
  <c r="AW118" i="3"/>
  <c r="AV118" i="3"/>
  <c r="AC118" i="3"/>
  <c r="H118" i="3"/>
  <c r="G118" i="3"/>
  <c r="BT117" i="3"/>
  <c r="BR117" i="3"/>
  <c r="BP117" i="3"/>
  <c r="BN117" i="3"/>
  <c r="BL117" i="3"/>
  <c r="BA117" i="3"/>
  <c r="AX117" i="3"/>
  <c r="AW117" i="3"/>
  <c r="AV117" i="3"/>
  <c r="AC117" i="3"/>
  <c r="H117" i="3"/>
  <c r="BT116" i="3"/>
  <c r="BR116" i="3"/>
  <c r="BP116" i="3"/>
  <c r="BN116" i="3"/>
  <c r="BA116" i="3"/>
  <c r="AX116" i="3"/>
  <c r="AW116" i="3"/>
  <c r="AV116" i="3"/>
  <c r="AC116" i="3"/>
  <c r="H116" i="3"/>
  <c r="G116" i="3"/>
  <c r="BT115" i="3"/>
  <c r="BR115" i="3"/>
  <c r="BP115" i="3"/>
  <c r="BN115" i="3"/>
  <c r="BL115" i="3"/>
  <c r="AX115" i="3"/>
  <c r="AW115" i="3"/>
  <c r="AV115" i="3"/>
  <c r="AC115" i="3"/>
  <c r="H115" i="3"/>
  <c r="G115" i="3"/>
  <c r="BT114" i="3"/>
  <c r="BR114" i="3"/>
  <c r="BP114" i="3"/>
  <c r="BN114" i="3"/>
  <c r="BL114" i="3"/>
  <c r="BA114" i="3"/>
  <c r="AX114" i="3"/>
  <c r="AW114" i="3"/>
  <c r="AV114" i="3"/>
  <c r="AC114" i="3"/>
  <c r="H114" i="3"/>
  <c r="G114" i="3"/>
  <c r="BT113" i="3"/>
  <c r="BR113" i="3"/>
  <c r="BP113" i="3"/>
  <c r="BN113" i="3"/>
  <c r="BL113" i="3"/>
  <c r="BA113" i="3"/>
  <c r="AX113" i="3"/>
  <c r="AW113" i="3"/>
  <c r="AV113" i="3"/>
  <c r="AC113" i="3"/>
  <c r="H113" i="3"/>
  <c r="BT302" i="3"/>
  <c r="BR302" i="3"/>
  <c r="BP302" i="3"/>
  <c r="BN302" i="3"/>
  <c r="BL302" i="3"/>
  <c r="BA302" i="3"/>
  <c r="AZ302" i="3"/>
  <c r="AX302" i="3"/>
  <c r="AW302" i="3"/>
  <c r="AV302" i="3"/>
  <c r="AC302" i="3"/>
  <c r="H302" i="3"/>
  <c r="G302" i="3"/>
  <c r="BT301" i="3"/>
  <c r="BR301" i="3"/>
  <c r="BP301" i="3"/>
  <c r="BN301" i="3"/>
  <c r="BL301" i="3"/>
  <c r="BA301" i="3"/>
  <c r="AZ301" i="3"/>
  <c r="AX301" i="3"/>
  <c r="AW301" i="3"/>
  <c r="AV301" i="3"/>
  <c r="AC301" i="3"/>
  <c r="H301" i="3"/>
  <c r="G301" i="3"/>
  <c r="BT300" i="3"/>
  <c r="BR300" i="3"/>
  <c r="BP300" i="3"/>
  <c r="BN300" i="3"/>
  <c r="BL300" i="3"/>
  <c r="BA300" i="3"/>
  <c r="AZ300" i="3"/>
  <c r="AX300" i="3"/>
  <c r="AW300" i="3"/>
  <c r="AV300" i="3"/>
  <c r="AC300" i="3"/>
  <c r="H300" i="3"/>
  <c r="G300" i="3"/>
  <c r="BT299" i="3"/>
  <c r="BR299" i="3"/>
  <c r="BP299" i="3"/>
  <c r="BN299" i="3"/>
  <c r="BL299" i="3"/>
  <c r="BA299" i="3"/>
  <c r="AX299" i="3"/>
  <c r="AW299" i="3"/>
  <c r="AV299" i="3"/>
  <c r="AC299" i="3"/>
  <c r="H299" i="3"/>
  <c r="G299" i="3"/>
  <c r="BT298" i="3"/>
  <c r="BR298" i="3"/>
  <c r="BP298" i="3"/>
  <c r="BN298" i="3"/>
  <c r="BL298" i="3"/>
  <c r="BA298" i="3"/>
  <c r="AX298" i="3"/>
  <c r="AW298" i="3"/>
  <c r="AV298" i="3"/>
  <c r="AC298" i="3"/>
  <c r="H298" i="3"/>
  <c r="G298" i="3"/>
  <c r="BT297" i="3"/>
  <c r="BR297" i="3"/>
  <c r="BP297" i="3"/>
  <c r="BN297" i="3"/>
  <c r="BL297" i="3"/>
  <c r="BA297" i="3"/>
  <c r="AX297" i="3"/>
  <c r="AW297" i="3"/>
  <c r="AV297" i="3"/>
  <c r="AC297" i="3"/>
  <c r="H297" i="3"/>
  <c r="G297" i="3"/>
  <c r="BT296" i="3"/>
  <c r="BR296" i="3"/>
  <c r="BP296" i="3"/>
  <c r="BN296" i="3"/>
  <c r="BL296" i="3"/>
  <c r="BA296" i="3"/>
  <c r="AX296" i="3"/>
  <c r="AW296" i="3"/>
  <c r="AV296" i="3"/>
  <c r="AC296" i="3"/>
  <c r="H296" i="3"/>
  <c r="G296" i="3"/>
  <c r="BT295" i="3"/>
  <c r="BR295" i="3"/>
  <c r="BP295" i="3"/>
  <c r="BN295" i="3"/>
  <c r="BL295" i="3"/>
  <c r="BA295" i="3"/>
  <c r="AX295" i="3"/>
  <c r="AW295" i="3"/>
  <c r="AV295" i="3"/>
  <c r="AC295" i="3"/>
  <c r="H295" i="3"/>
  <c r="G295" i="3"/>
  <c r="BT294" i="3"/>
  <c r="BR294" i="3"/>
  <c r="BP294" i="3"/>
  <c r="BN294" i="3"/>
  <c r="BL294" i="3"/>
  <c r="BA294" i="3"/>
  <c r="AZ294" i="3"/>
  <c r="AX294" i="3"/>
  <c r="AW294" i="3"/>
  <c r="AV294" i="3"/>
  <c r="AC294" i="3"/>
  <c r="H294" i="3"/>
  <c r="G294" i="3"/>
  <c r="BT293" i="3"/>
  <c r="BR293" i="3"/>
  <c r="BP293" i="3"/>
  <c r="BN293" i="3"/>
  <c r="BL293" i="3"/>
  <c r="BA293" i="3"/>
  <c r="AZ293" i="3"/>
  <c r="AX293" i="3"/>
  <c r="AW293" i="3"/>
  <c r="AV293" i="3"/>
  <c r="AC293" i="3"/>
  <c r="H293" i="3"/>
  <c r="G293" i="3"/>
  <c r="BT292" i="3"/>
  <c r="BR292" i="3"/>
  <c r="BP292" i="3"/>
  <c r="BN292" i="3"/>
  <c r="BL292" i="3"/>
  <c r="BA292" i="3"/>
  <c r="AZ292" i="3"/>
  <c r="AX292" i="3"/>
  <c r="AW292" i="3"/>
  <c r="AV292" i="3"/>
  <c r="AC292" i="3"/>
  <c r="H292" i="3"/>
  <c r="G292" i="3"/>
  <c r="BT291" i="3"/>
  <c r="BR291" i="3"/>
  <c r="BP291" i="3"/>
  <c r="BN291" i="3"/>
  <c r="BL291" i="3"/>
  <c r="BA291" i="3"/>
  <c r="AX291" i="3"/>
  <c r="AW291" i="3"/>
  <c r="AV291" i="3"/>
  <c r="AC291" i="3"/>
  <c r="H291" i="3"/>
  <c r="G291" i="3"/>
  <c r="BT290" i="3"/>
  <c r="BR290" i="3"/>
  <c r="BP290" i="3"/>
  <c r="BN290" i="3"/>
  <c r="BL290" i="3"/>
  <c r="BA290" i="3"/>
  <c r="AX290" i="3"/>
  <c r="AW290" i="3"/>
  <c r="AV290" i="3"/>
  <c r="AC290" i="3"/>
  <c r="H290" i="3"/>
  <c r="G290" i="3"/>
  <c r="BT289" i="3"/>
  <c r="BR289" i="3"/>
  <c r="BP289" i="3"/>
  <c r="BN289" i="3"/>
  <c r="BL289" i="3"/>
  <c r="BA289" i="3"/>
  <c r="AX289" i="3"/>
  <c r="AW289" i="3"/>
  <c r="AV289" i="3"/>
  <c r="AC289" i="3"/>
  <c r="H289" i="3"/>
  <c r="G289" i="3"/>
  <c r="BT288" i="3"/>
  <c r="BR288" i="3"/>
  <c r="BP288" i="3"/>
  <c r="BN288" i="3"/>
  <c r="BL288" i="3"/>
  <c r="BA288" i="3"/>
  <c r="AX288" i="3"/>
  <c r="AW288" i="3"/>
  <c r="AV288" i="3"/>
  <c r="AC288" i="3"/>
  <c r="H288" i="3"/>
  <c r="G288" i="3"/>
  <c r="BT287" i="3"/>
  <c r="BR287" i="3"/>
  <c r="BP287" i="3"/>
  <c r="BN287" i="3"/>
  <c r="BL287" i="3"/>
  <c r="BA287" i="3"/>
  <c r="AX287" i="3"/>
  <c r="AW287" i="3"/>
  <c r="AV287" i="3"/>
  <c r="AC287" i="3"/>
  <c r="H287" i="3"/>
  <c r="G287" i="3"/>
  <c r="BT286" i="3"/>
  <c r="BR286" i="3"/>
  <c r="BP286" i="3"/>
  <c r="BN286" i="3"/>
  <c r="BL286" i="3"/>
  <c r="BA286" i="3"/>
  <c r="AX286" i="3"/>
  <c r="AW286" i="3"/>
  <c r="AV286" i="3"/>
  <c r="AC286" i="3"/>
  <c r="H286" i="3"/>
  <c r="G286" i="3"/>
  <c r="BT285" i="3"/>
  <c r="BR285" i="3"/>
  <c r="BP285" i="3"/>
  <c r="BN285" i="3"/>
  <c r="BL285" i="3"/>
  <c r="BA285" i="3"/>
  <c r="AX285" i="3"/>
  <c r="AW285" i="3"/>
  <c r="AV285" i="3"/>
  <c r="AC285" i="3"/>
  <c r="H285" i="3"/>
  <c r="G285" i="3"/>
  <c r="BT284" i="3"/>
  <c r="BR284" i="3"/>
  <c r="BP284" i="3"/>
  <c r="BN284" i="3"/>
  <c r="BL284" i="3"/>
  <c r="BA284" i="3"/>
  <c r="AX284" i="3"/>
  <c r="AW284" i="3"/>
  <c r="AV284" i="3"/>
  <c r="AC284" i="3"/>
  <c r="H284" i="3"/>
  <c r="G284" i="3"/>
  <c r="BT283" i="3"/>
  <c r="BR283" i="3"/>
  <c r="BP283" i="3"/>
  <c r="BN283" i="3"/>
  <c r="BL283" i="3"/>
  <c r="BA283" i="3"/>
  <c r="AX283" i="3"/>
  <c r="AW283" i="3"/>
  <c r="AV283" i="3"/>
  <c r="AC283" i="3"/>
  <c r="H283" i="3"/>
  <c r="G283" i="3"/>
  <c r="BT282" i="3"/>
  <c r="BR282" i="3"/>
  <c r="BP282" i="3"/>
  <c r="BN282" i="3"/>
  <c r="BL282" i="3"/>
  <c r="BA282" i="3"/>
  <c r="AZ282" i="3"/>
  <c r="AX282" i="3"/>
  <c r="AW282" i="3"/>
  <c r="AV282" i="3"/>
  <c r="AC282" i="3"/>
  <c r="H282" i="3"/>
  <c r="G282" i="3"/>
  <c r="BT281" i="3"/>
  <c r="BR281" i="3"/>
  <c r="BP281" i="3"/>
  <c r="BN281" i="3"/>
  <c r="BL281" i="3"/>
  <c r="BA281" i="3"/>
  <c r="AX281" i="3"/>
  <c r="AW281" i="3"/>
  <c r="AV281" i="3"/>
  <c r="AC281" i="3"/>
  <c r="H281" i="3"/>
  <c r="G281" i="3"/>
  <c r="BT280" i="3"/>
  <c r="BR280" i="3"/>
  <c r="BP280" i="3"/>
  <c r="BN280" i="3"/>
  <c r="BL280" i="3"/>
  <c r="BA280" i="3"/>
  <c r="AX280" i="3"/>
  <c r="AW280" i="3"/>
  <c r="AV280" i="3"/>
  <c r="AC280" i="3"/>
  <c r="H280" i="3"/>
  <c r="G280" i="3"/>
  <c r="BT279" i="3"/>
  <c r="BR279" i="3"/>
  <c r="BP279" i="3"/>
  <c r="BN279" i="3"/>
  <c r="BL279" i="3"/>
  <c r="BA279" i="3"/>
  <c r="AX279" i="3"/>
  <c r="AW279" i="3"/>
  <c r="AV279" i="3"/>
  <c r="AC279" i="3"/>
  <c r="H279" i="3"/>
  <c r="G279" i="3"/>
  <c r="BT278" i="3"/>
  <c r="BR278" i="3"/>
  <c r="BP278" i="3"/>
  <c r="BN278" i="3"/>
  <c r="BL278" i="3"/>
  <c r="BA278" i="3"/>
  <c r="AZ278" i="3"/>
  <c r="AX278" i="3"/>
  <c r="AW278" i="3"/>
  <c r="AV278" i="3"/>
  <c r="AC278" i="3"/>
  <c r="H278" i="3"/>
  <c r="G278" i="3"/>
  <c r="BT277" i="3"/>
  <c r="BR277" i="3"/>
  <c r="BP277" i="3"/>
  <c r="BN277" i="3"/>
  <c r="BL277" i="3"/>
  <c r="BA277" i="3"/>
  <c r="AX277" i="3"/>
  <c r="AW277" i="3"/>
  <c r="AV277" i="3"/>
  <c r="AC277" i="3"/>
  <c r="H277" i="3"/>
  <c r="G277" i="3"/>
  <c r="BT276" i="3"/>
  <c r="BR276" i="3"/>
  <c r="BP276" i="3"/>
  <c r="BN276" i="3"/>
  <c r="BL276" i="3"/>
  <c r="BA276" i="3"/>
  <c r="AX276" i="3"/>
  <c r="AW276" i="3"/>
  <c r="AV276" i="3"/>
  <c r="AC276" i="3"/>
  <c r="H276" i="3"/>
  <c r="G276" i="3"/>
  <c r="BT275" i="3"/>
  <c r="BR275" i="3"/>
  <c r="BP275" i="3"/>
  <c r="BN275" i="3"/>
  <c r="BL275" i="3"/>
  <c r="BA275" i="3"/>
  <c r="AX275" i="3"/>
  <c r="AW275" i="3"/>
  <c r="AV275" i="3"/>
  <c r="AC275" i="3"/>
  <c r="H275" i="3"/>
  <c r="G275" i="3"/>
  <c r="BT274" i="3"/>
  <c r="BR274" i="3"/>
  <c r="BP274" i="3"/>
  <c r="BN274" i="3"/>
  <c r="BA274" i="3"/>
  <c r="AX274" i="3"/>
  <c r="AW274" i="3"/>
  <c r="AV274" i="3"/>
  <c r="AC274" i="3"/>
  <c r="H274" i="3"/>
  <c r="G274" i="3"/>
  <c r="BT273" i="3"/>
  <c r="BR273" i="3"/>
  <c r="BP273" i="3"/>
  <c r="BN273" i="3"/>
  <c r="BL273" i="3"/>
  <c r="BA273" i="3"/>
  <c r="AX273" i="3"/>
  <c r="AW273" i="3"/>
  <c r="AV273" i="3"/>
  <c r="AC273" i="3"/>
  <c r="H273" i="3"/>
  <c r="BT272" i="3"/>
  <c r="BR272" i="3"/>
  <c r="BP272" i="3"/>
  <c r="BN272" i="3"/>
  <c r="BL272" i="3"/>
  <c r="BA272" i="3"/>
  <c r="AZ272" i="3"/>
  <c r="AX272" i="3"/>
  <c r="AW272" i="3"/>
  <c r="AV272" i="3"/>
  <c r="AC272" i="3"/>
  <c r="H272" i="3"/>
  <c r="G272" i="3"/>
  <c r="BT271" i="3"/>
  <c r="BR271" i="3"/>
  <c r="BP271" i="3"/>
  <c r="BN271" i="3"/>
  <c r="BL271" i="3"/>
  <c r="BA271" i="3"/>
  <c r="AX271" i="3"/>
  <c r="AW271" i="3"/>
  <c r="AV271" i="3"/>
  <c r="AC271" i="3"/>
  <c r="H271" i="3"/>
  <c r="G271" i="3"/>
  <c r="BT270" i="3"/>
  <c r="BR270" i="3"/>
  <c r="BP270" i="3"/>
  <c r="BN270" i="3"/>
  <c r="BL270" i="3"/>
  <c r="BA270" i="3"/>
  <c r="AZ270" i="3"/>
  <c r="AX270" i="3"/>
  <c r="AW270" i="3"/>
  <c r="AV270" i="3"/>
  <c r="AC270" i="3"/>
  <c r="H270" i="3"/>
  <c r="BT269" i="3"/>
  <c r="BR269" i="3"/>
  <c r="BP269" i="3"/>
  <c r="BN269" i="3"/>
  <c r="BL269" i="3"/>
  <c r="BA269" i="3"/>
  <c r="AX269" i="3"/>
  <c r="AW269" i="3"/>
  <c r="AV269" i="3"/>
  <c r="AC269" i="3"/>
  <c r="H269" i="3"/>
  <c r="G269" i="3"/>
  <c r="BT268" i="3"/>
  <c r="BR268" i="3"/>
  <c r="BP268" i="3"/>
  <c r="BN268" i="3"/>
  <c r="BL268" i="3"/>
  <c r="BA268" i="3"/>
  <c r="AX268" i="3"/>
  <c r="AW268" i="3"/>
  <c r="AV268" i="3"/>
  <c r="AC268" i="3"/>
  <c r="H268" i="3"/>
  <c r="BT267" i="3"/>
  <c r="BR267" i="3"/>
  <c r="BP267" i="3"/>
  <c r="BN267" i="3"/>
  <c r="BL267" i="3"/>
  <c r="BA267" i="3"/>
  <c r="AZ267" i="3"/>
  <c r="AX267" i="3"/>
  <c r="AW267" i="3"/>
  <c r="AV267" i="3"/>
  <c r="AC267" i="3"/>
  <c r="H267" i="3"/>
  <c r="G267" i="3"/>
  <c r="BT266" i="3"/>
  <c r="BR266" i="3"/>
  <c r="BP266" i="3"/>
  <c r="BN266" i="3"/>
  <c r="BL266" i="3"/>
  <c r="BA266" i="3"/>
  <c r="AX266" i="3"/>
  <c r="AW266" i="3"/>
  <c r="AV266" i="3"/>
  <c r="AC266" i="3"/>
  <c r="H266" i="3"/>
  <c r="G266" i="3"/>
  <c r="BT265" i="3"/>
  <c r="BR265" i="3"/>
  <c r="BP265" i="3"/>
  <c r="BN265" i="3"/>
  <c r="BL265" i="3"/>
  <c r="BA265" i="3"/>
  <c r="AX265" i="3"/>
  <c r="AW265" i="3"/>
  <c r="AV265" i="3"/>
  <c r="AC265" i="3"/>
  <c r="H265" i="3"/>
  <c r="G265" i="3"/>
  <c r="BT264" i="3"/>
  <c r="BR264" i="3"/>
  <c r="BP264" i="3"/>
  <c r="BN264" i="3"/>
  <c r="BL264" i="3"/>
  <c r="AX264" i="3"/>
  <c r="AW264" i="3"/>
  <c r="AV264" i="3"/>
  <c r="AC264" i="3"/>
  <c r="H264" i="3"/>
  <c r="G264" i="3"/>
  <c r="BT263" i="3"/>
  <c r="BR263" i="3"/>
  <c r="BP263" i="3"/>
  <c r="BN263" i="3"/>
  <c r="BL263" i="3"/>
  <c r="BA263" i="3"/>
  <c r="AX263" i="3"/>
  <c r="AW263" i="3"/>
  <c r="AV263" i="3"/>
  <c r="AC263" i="3"/>
  <c r="H263" i="3"/>
  <c r="G263" i="3"/>
  <c r="BT262" i="3"/>
  <c r="BR262" i="3"/>
  <c r="BP262" i="3"/>
  <c r="BN262" i="3"/>
  <c r="BL262" i="3"/>
  <c r="BA262" i="3"/>
  <c r="AZ262" i="3"/>
  <c r="AX262" i="3"/>
  <c r="AW262" i="3"/>
  <c r="AV262" i="3"/>
  <c r="AC262" i="3"/>
  <c r="H262" i="3"/>
  <c r="BT261" i="3"/>
  <c r="BR261" i="3"/>
  <c r="BP261" i="3"/>
  <c r="BN261" i="3"/>
  <c r="BA261" i="3"/>
  <c r="AX261" i="3"/>
  <c r="AW261" i="3"/>
  <c r="AV261" i="3"/>
  <c r="AC261" i="3"/>
  <c r="H261" i="3"/>
  <c r="G261" i="3"/>
  <c r="BT260" i="3"/>
  <c r="BR260" i="3"/>
  <c r="BP260" i="3"/>
  <c r="BN260" i="3"/>
  <c r="BL260" i="3"/>
  <c r="BA260" i="3"/>
  <c r="AZ260" i="3"/>
  <c r="AX260" i="3"/>
  <c r="AW260" i="3"/>
  <c r="AV260" i="3"/>
  <c r="AC260" i="3"/>
  <c r="H260" i="3"/>
  <c r="G260" i="3"/>
  <c r="BT259" i="3"/>
  <c r="BR259" i="3"/>
  <c r="BP259" i="3"/>
  <c r="BN259" i="3"/>
  <c r="BL259" i="3"/>
  <c r="AX259" i="3"/>
  <c r="AW259" i="3"/>
  <c r="AV259" i="3"/>
  <c r="AC259" i="3"/>
  <c r="H259" i="3"/>
  <c r="G259" i="3"/>
  <c r="BT258" i="3"/>
  <c r="BR258" i="3"/>
  <c r="BP258" i="3"/>
  <c r="BN258" i="3"/>
  <c r="BL258" i="3"/>
  <c r="BA258" i="3"/>
  <c r="AX258" i="3"/>
  <c r="AW258" i="3"/>
  <c r="AV258" i="3"/>
  <c r="AC258" i="3"/>
  <c r="H258" i="3"/>
  <c r="G258" i="3"/>
  <c r="BT257" i="3"/>
  <c r="BR257" i="3"/>
  <c r="BP257" i="3"/>
  <c r="BN257" i="3"/>
  <c r="BL257" i="3"/>
  <c r="BA257" i="3"/>
  <c r="AX257" i="3"/>
  <c r="AW257" i="3"/>
  <c r="AV257" i="3"/>
  <c r="AC257" i="3"/>
  <c r="H257" i="3"/>
  <c r="BT256" i="3"/>
  <c r="BR256" i="3"/>
  <c r="BP256" i="3"/>
  <c r="BN256" i="3"/>
  <c r="BA256" i="3"/>
  <c r="AX256" i="3"/>
  <c r="AW256" i="3"/>
  <c r="AV256" i="3"/>
  <c r="AC256" i="3"/>
  <c r="H256" i="3"/>
  <c r="G256" i="3"/>
  <c r="BT255" i="3"/>
  <c r="BR255" i="3"/>
  <c r="BP255" i="3"/>
  <c r="BN255" i="3"/>
  <c r="BL255" i="3"/>
  <c r="BA255" i="3"/>
  <c r="AZ255" i="3"/>
  <c r="AX255" i="3"/>
  <c r="AW255" i="3"/>
  <c r="AV255" i="3"/>
  <c r="AC255" i="3"/>
  <c r="H255" i="3"/>
  <c r="G255" i="3"/>
  <c r="BT254" i="3"/>
  <c r="BR254" i="3"/>
  <c r="BP254" i="3"/>
  <c r="BN254" i="3"/>
  <c r="BL254" i="3"/>
  <c r="BA254" i="3"/>
  <c r="AX254" i="3"/>
  <c r="AW254" i="3"/>
  <c r="AV254" i="3"/>
  <c r="AC254" i="3"/>
  <c r="H254" i="3"/>
  <c r="G254" i="3"/>
  <c r="BT253" i="3"/>
  <c r="BR253" i="3"/>
  <c r="BP253" i="3"/>
  <c r="BN253" i="3"/>
  <c r="BA253" i="3"/>
  <c r="AX253" i="3"/>
  <c r="AW253" i="3"/>
  <c r="AV253" i="3"/>
  <c r="AC253" i="3"/>
  <c r="H253" i="3"/>
  <c r="BT252" i="3"/>
  <c r="BR252" i="3"/>
  <c r="BP252" i="3"/>
  <c r="BN252" i="3"/>
  <c r="BL252" i="3"/>
  <c r="BA252" i="3"/>
  <c r="AZ252" i="3"/>
  <c r="AX252" i="3"/>
  <c r="AW252" i="3"/>
  <c r="AV252" i="3"/>
  <c r="AC252" i="3"/>
  <c r="H252" i="3"/>
  <c r="BT251" i="3"/>
  <c r="BR251" i="3"/>
  <c r="BP251" i="3"/>
  <c r="BN251" i="3"/>
  <c r="BA251" i="3"/>
  <c r="AX251" i="3"/>
  <c r="AW251" i="3"/>
  <c r="AV251" i="3"/>
  <c r="AC251" i="3"/>
  <c r="H251" i="3"/>
  <c r="G251" i="3"/>
  <c r="BT250" i="3"/>
  <c r="BR250" i="3"/>
  <c r="BP250" i="3"/>
  <c r="BN250" i="3"/>
  <c r="BL250" i="3"/>
  <c r="BA250" i="3"/>
  <c r="AX250" i="3"/>
  <c r="AW250" i="3"/>
  <c r="AV250" i="3"/>
  <c r="AC250" i="3"/>
  <c r="H250" i="3"/>
  <c r="G250" i="3"/>
  <c r="BT249" i="3"/>
  <c r="BR249" i="3"/>
  <c r="BP249" i="3"/>
  <c r="BN249" i="3"/>
  <c r="BL249" i="3"/>
  <c r="AX249" i="3"/>
  <c r="AW249" i="3"/>
  <c r="AV249" i="3"/>
  <c r="AC249" i="3"/>
  <c r="H249" i="3"/>
  <c r="G249" i="3"/>
  <c r="BT248" i="3"/>
  <c r="BR248" i="3"/>
  <c r="BP248" i="3"/>
  <c r="BN248" i="3"/>
  <c r="BL248" i="3"/>
  <c r="BA248" i="3"/>
  <c r="AX248" i="3"/>
  <c r="AW248" i="3"/>
  <c r="AV248" i="3"/>
  <c r="AC248" i="3"/>
  <c r="H248" i="3"/>
  <c r="G248" i="3"/>
  <c r="BT247" i="3"/>
  <c r="BR247" i="3"/>
  <c r="BP247" i="3"/>
  <c r="BN247" i="3"/>
  <c r="BL247" i="3"/>
  <c r="AX247" i="3"/>
  <c r="AW247" i="3"/>
  <c r="AV247" i="3"/>
  <c r="AC247" i="3"/>
  <c r="H247" i="3"/>
  <c r="G247" i="3"/>
  <c r="BT246" i="3"/>
  <c r="BR246" i="3"/>
  <c r="BP246" i="3"/>
  <c r="BN246" i="3"/>
  <c r="BL246" i="3"/>
  <c r="BA246" i="3"/>
  <c r="AX246" i="3"/>
  <c r="AW246" i="3"/>
  <c r="AV246" i="3"/>
  <c r="AC246" i="3"/>
  <c r="H246" i="3"/>
  <c r="G246" i="3"/>
  <c r="BT245" i="3"/>
  <c r="BR245" i="3"/>
  <c r="BP245" i="3"/>
  <c r="BN245" i="3"/>
  <c r="BL245" i="3"/>
  <c r="BA245" i="3"/>
  <c r="AX245" i="3"/>
  <c r="AW245" i="3"/>
  <c r="AV245" i="3"/>
  <c r="AC245" i="3"/>
  <c r="H245" i="3"/>
  <c r="G245" i="3"/>
  <c r="BT244" i="3"/>
  <c r="BR244" i="3"/>
  <c r="BP244" i="3"/>
  <c r="BN244" i="3"/>
  <c r="BA244" i="3"/>
  <c r="AX244" i="3"/>
  <c r="AW244" i="3"/>
  <c r="AV244" i="3"/>
  <c r="AC244" i="3"/>
  <c r="H244" i="3"/>
  <c r="G244" i="3"/>
  <c r="BT243" i="3"/>
  <c r="BR243" i="3"/>
  <c r="BP243" i="3"/>
  <c r="BN243" i="3"/>
  <c r="BA243" i="3"/>
  <c r="AX243" i="3"/>
  <c r="AW243" i="3"/>
  <c r="AV243" i="3"/>
  <c r="AC243" i="3"/>
  <c r="H243" i="3"/>
  <c r="BT242" i="3"/>
  <c r="BR242" i="3"/>
  <c r="BP242" i="3"/>
  <c r="BN242" i="3"/>
  <c r="BL242" i="3"/>
  <c r="AX242" i="3"/>
  <c r="AW242" i="3"/>
  <c r="AV242" i="3"/>
  <c r="AC242" i="3"/>
  <c r="H242" i="3"/>
  <c r="G242" i="3"/>
  <c r="BT241" i="3"/>
  <c r="BR241" i="3"/>
  <c r="BP241" i="3"/>
  <c r="BN241" i="3"/>
  <c r="BL241" i="3"/>
  <c r="AX241" i="3"/>
  <c r="AW241" i="3"/>
  <c r="AV241" i="3"/>
  <c r="AC241" i="3"/>
  <c r="H241" i="3"/>
  <c r="G241" i="3"/>
  <c r="BT240" i="3"/>
  <c r="BR240" i="3"/>
  <c r="BP240" i="3"/>
  <c r="BN240" i="3"/>
  <c r="BL240" i="3"/>
  <c r="BA240" i="3"/>
  <c r="AX240" i="3"/>
  <c r="AW240" i="3"/>
  <c r="AV240" i="3"/>
  <c r="AC240" i="3"/>
  <c r="H240" i="3"/>
  <c r="G240" i="3"/>
  <c r="BT239" i="3"/>
  <c r="BR239" i="3"/>
  <c r="BP239" i="3"/>
  <c r="BN239" i="3"/>
  <c r="BL239" i="3"/>
  <c r="AX239" i="3"/>
  <c r="AW239" i="3"/>
  <c r="AV239" i="3"/>
  <c r="AC239" i="3"/>
  <c r="H239" i="3"/>
  <c r="G239" i="3"/>
  <c r="BT238" i="3"/>
  <c r="BR238" i="3"/>
  <c r="BP238" i="3"/>
  <c r="BN238" i="3"/>
  <c r="BL238" i="3"/>
  <c r="BA238" i="3"/>
  <c r="AX238" i="3"/>
  <c r="AW238" i="3"/>
  <c r="AV238" i="3"/>
  <c r="AC238" i="3"/>
  <c r="H238" i="3"/>
  <c r="G238" i="3"/>
  <c r="BT237" i="3"/>
  <c r="BR237" i="3"/>
  <c r="BP237" i="3"/>
  <c r="BN237" i="3"/>
  <c r="BL237" i="3"/>
  <c r="BA237" i="3"/>
  <c r="AX237" i="3"/>
  <c r="AW237" i="3"/>
  <c r="AV237" i="3"/>
  <c r="AC237" i="3"/>
  <c r="H237" i="3"/>
  <c r="G237" i="3"/>
  <c r="BT236" i="3"/>
  <c r="BR236" i="3"/>
  <c r="BP236" i="3"/>
  <c r="BN236" i="3"/>
  <c r="BA236" i="3"/>
  <c r="AX236" i="3"/>
  <c r="AW236" i="3"/>
  <c r="AV236" i="3"/>
  <c r="AC236" i="3"/>
  <c r="H236" i="3"/>
  <c r="G236" i="3"/>
  <c r="BT235" i="3"/>
  <c r="BR235" i="3"/>
  <c r="BP235" i="3"/>
  <c r="BN235" i="3"/>
  <c r="BL235" i="3"/>
  <c r="BA235" i="3"/>
  <c r="AX235" i="3"/>
  <c r="AW235" i="3"/>
  <c r="AV235" i="3"/>
  <c r="AC235" i="3"/>
  <c r="H235" i="3"/>
  <c r="G235" i="3"/>
  <c r="BT234" i="3"/>
  <c r="BR234" i="3"/>
  <c r="BP234" i="3"/>
  <c r="BN234" i="3"/>
  <c r="BL234" i="3"/>
  <c r="BA234" i="3"/>
  <c r="AX234" i="3"/>
  <c r="AW234" i="3"/>
  <c r="AV234" i="3"/>
  <c r="AC234" i="3"/>
  <c r="H234" i="3"/>
  <c r="G234" i="3"/>
  <c r="BT233" i="3"/>
  <c r="BR233" i="3"/>
  <c r="BP233" i="3"/>
  <c r="BN233" i="3"/>
  <c r="BL233" i="3"/>
  <c r="BA233" i="3"/>
  <c r="AX233" i="3"/>
  <c r="AW233" i="3"/>
  <c r="AV233" i="3"/>
  <c r="AC233" i="3"/>
  <c r="H233" i="3"/>
  <c r="G233" i="3"/>
  <c r="BT232" i="3"/>
  <c r="BR232" i="3"/>
  <c r="BP232" i="3"/>
  <c r="BN232" i="3"/>
  <c r="BL232" i="3"/>
  <c r="BA232" i="3"/>
  <c r="AX232" i="3"/>
  <c r="AW232" i="3"/>
  <c r="AV232" i="3"/>
  <c r="AC232" i="3"/>
  <c r="H232" i="3"/>
  <c r="G232" i="3"/>
  <c r="BT231" i="3"/>
  <c r="BR231" i="3"/>
  <c r="BP231" i="3"/>
  <c r="BN231" i="3"/>
  <c r="BL231" i="3"/>
  <c r="BA231" i="3"/>
  <c r="AZ231" i="3"/>
  <c r="AX231" i="3"/>
  <c r="AW231" i="3"/>
  <c r="AV231" i="3"/>
  <c r="AC231" i="3"/>
  <c r="H231" i="3"/>
  <c r="G231" i="3"/>
  <c r="BT230" i="3"/>
  <c r="BR230" i="3"/>
  <c r="BP230" i="3"/>
  <c r="BN230" i="3"/>
  <c r="BL230" i="3"/>
  <c r="AX230" i="3"/>
  <c r="AW230" i="3"/>
  <c r="AV230" i="3"/>
  <c r="AC230" i="3"/>
  <c r="H230" i="3"/>
  <c r="G230" i="3"/>
  <c r="BT229" i="3"/>
  <c r="BR229" i="3"/>
  <c r="BP229" i="3"/>
  <c r="BN229" i="3"/>
  <c r="BL229" i="3"/>
  <c r="BA229" i="3"/>
  <c r="AX229" i="3"/>
  <c r="AW229" i="3"/>
  <c r="AV229" i="3"/>
  <c r="AC229" i="3"/>
  <c r="H229" i="3"/>
  <c r="G229" i="3"/>
  <c r="BT228" i="3"/>
  <c r="BR228" i="3"/>
  <c r="BP228" i="3"/>
  <c r="BN228" i="3"/>
  <c r="BL228" i="3"/>
  <c r="BA228" i="3"/>
  <c r="AX228" i="3"/>
  <c r="AW228" i="3"/>
  <c r="AV228" i="3"/>
  <c r="AC228" i="3"/>
  <c r="H228" i="3"/>
  <c r="G228" i="3"/>
  <c r="BT227" i="3"/>
  <c r="BR227" i="3"/>
  <c r="BP227" i="3"/>
  <c r="BN227" i="3"/>
  <c r="BL227" i="3"/>
  <c r="AX227" i="3"/>
  <c r="AW227" i="3"/>
  <c r="AV227" i="3"/>
  <c r="AC227" i="3"/>
  <c r="H227" i="3"/>
  <c r="G227" i="3"/>
  <c r="BT226" i="3"/>
  <c r="BR226" i="3"/>
  <c r="BP226" i="3"/>
  <c r="BN226" i="3"/>
  <c r="BL226" i="3"/>
  <c r="BA226" i="3"/>
  <c r="AZ226" i="3"/>
  <c r="AX226" i="3"/>
  <c r="AW226" i="3"/>
  <c r="AV226" i="3"/>
  <c r="AC226" i="3"/>
  <c r="H226" i="3"/>
  <c r="G226" i="3"/>
  <c r="BT225" i="3"/>
  <c r="BR225" i="3"/>
  <c r="BP225" i="3"/>
  <c r="BN225" i="3"/>
  <c r="BL225" i="3"/>
  <c r="BA225" i="3"/>
  <c r="AZ225" i="3"/>
  <c r="AX225" i="3"/>
  <c r="AW225" i="3"/>
  <c r="AV225" i="3"/>
  <c r="AC225" i="3"/>
  <c r="H225" i="3"/>
  <c r="BT224" i="3"/>
  <c r="BR224" i="3"/>
  <c r="BP224" i="3"/>
  <c r="BN224" i="3"/>
  <c r="BL224" i="3"/>
  <c r="BA224" i="3"/>
  <c r="AX224" i="3"/>
  <c r="AW224" i="3"/>
  <c r="AV224" i="3"/>
  <c r="AC224" i="3"/>
  <c r="H224" i="3"/>
  <c r="G224" i="3"/>
  <c r="BT223" i="3"/>
  <c r="BR223" i="3"/>
  <c r="BP223" i="3"/>
  <c r="BN223" i="3"/>
  <c r="BL223" i="3"/>
  <c r="BA223" i="3"/>
  <c r="AX223" i="3"/>
  <c r="AW223" i="3"/>
  <c r="AV223" i="3"/>
  <c r="AC223" i="3"/>
  <c r="H223" i="3"/>
  <c r="G223" i="3"/>
  <c r="BT222" i="3"/>
  <c r="BR222" i="3"/>
  <c r="BP222" i="3"/>
  <c r="BN222" i="3"/>
  <c r="BL222" i="3"/>
  <c r="AX222" i="3"/>
  <c r="AW222" i="3"/>
  <c r="AV222" i="3"/>
  <c r="AC222" i="3"/>
  <c r="H222" i="3"/>
  <c r="G222" i="3"/>
  <c r="BT221" i="3"/>
  <c r="BR221" i="3"/>
  <c r="BP221" i="3"/>
  <c r="BN221" i="3"/>
  <c r="BL221" i="3"/>
  <c r="BA221" i="3"/>
  <c r="AX221" i="3"/>
  <c r="AW221" i="3"/>
  <c r="AV221" i="3"/>
  <c r="AC221" i="3"/>
  <c r="H221" i="3"/>
  <c r="G221" i="3"/>
  <c r="BT220" i="3"/>
  <c r="BR220" i="3"/>
  <c r="BP220" i="3"/>
  <c r="BN220" i="3"/>
  <c r="BL220" i="3"/>
  <c r="BA220" i="3"/>
  <c r="AZ220" i="3"/>
  <c r="AX220" i="3"/>
  <c r="AW220" i="3"/>
  <c r="AV220" i="3"/>
  <c r="AC220" i="3"/>
  <c r="H220" i="3"/>
  <c r="BT219" i="3"/>
  <c r="BR219" i="3"/>
  <c r="BP219" i="3"/>
  <c r="BN219" i="3"/>
  <c r="BL219" i="3"/>
  <c r="BA219" i="3"/>
  <c r="AX219" i="3"/>
  <c r="AW219" i="3"/>
  <c r="AV219" i="3"/>
  <c r="AC219" i="3"/>
  <c r="H219" i="3"/>
  <c r="G219" i="3"/>
  <c r="BT218" i="3"/>
  <c r="BR218" i="3"/>
  <c r="BP218" i="3"/>
  <c r="BN218" i="3"/>
  <c r="BL218" i="3"/>
  <c r="BA218" i="3"/>
  <c r="AX218" i="3"/>
  <c r="AW218" i="3"/>
  <c r="AV218" i="3"/>
  <c r="AC218" i="3"/>
  <c r="H218" i="3"/>
  <c r="G218" i="3"/>
  <c r="BT217" i="3"/>
  <c r="BR217" i="3"/>
  <c r="BP217" i="3"/>
  <c r="BN217" i="3"/>
  <c r="BL217" i="3"/>
  <c r="BA217" i="3"/>
  <c r="AX217" i="3"/>
  <c r="AW217" i="3"/>
  <c r="AV217" i="3"/>
  <c r="AC217" i="3"/>
  <c r="H217" i="3"/>
  <c r="BT216" i="3"/>
  <c r="BR216" i="3"/>
  <c r="BP216" i="3"/>
  <c r="BN216" i="3"/>
  <c r="BL216" i="3"/>
  <c r="AX216" i="3"/>
  <c r="AW216" i="3"/>
  <c r="AV216" i="3"/>
  <c r="AC216" i="3"/>
  <c r="H216" i="3"/>
  <c r="G216" i="3"/>
  <c r="BT215" i="3"/>
  <c r="BR215" i="3"/>
  <c r="BP215" i="3"/>
  <c r="BN215" i="3"/>
  <c r="BL215" i="3"/>
  <c r="BA215" i="3"/>
  <c r="AX215" i="3"/>
  <c r="AW215" i="3"/>
  <c r="AV215" i="3"/>
  <c r="AC215" i="3"/>
  <c r="H215" i="3"/>
  <c r="G215" i="3"/>
  <c r="BT214" i="3"/>
  <c r="BR214" i="3"/>
  <c r="BP214" i="3"/>
  <c r="BN214" i="3"/>
  <c r="BL214" i="3"/>
  <c r="BA214" i="3"/>
  <c r="AX214" i="3"/>
  <c r="AW214" i="3"/>
  <c r="AV214" i="3"/>
  <c r="AC214" i="3"/>
  <c r="H214" i="3"/>
  <c r="G214" i="3"/>
  <c r="BT213" i="3"/>
  <c r="BR213" i="3"/>
  <c r="BP213" i="3"/>
  <c r="BN213" i="3"/>
  <c r="BL213" i="3"/>
  <c r="BA213" i="3"/>
  <c r="AX213" i="3"/>
  <c r="AW213" i="3"/>
  <c r="AV213" i="3"/>
  <c r="AC213" i="3"/>
  <c r="H213" i="3"/>
  <c r="G213" i="3"/>
  <c r="BT212" i="3"/>
  <c r="BR212" i="3"/>
  <c r="BP212" i="3"/>
  <c r="BN212" i="3"/>
  <c r="BL212" i="3"/>
  <c r="BA212" i="3"/>
  <c r="AX212" i="3"/>
  <c r="AW212" i="3"/>
  <c r="AV212" i="3"/>
  <c r="AC212" i="3"/>
  <c r="H212" i="3"/>
  <c r="G212" i="3"/>
  <c r="BT211" i="3"/>
  <c r="BR211" i="3"/>
  <c r="BP211" i="3"/>
  <c r="BN211" i="3"/>
  <c r="BL211" i="3"/>
  <c r="AX211" i="3"/>
  <c r="AW211" i="3"/>
  <c r="AV211" i="3"/>
  <c r="AC211" i="3"/>
  <c r="H211" i="3"/>
  <c r="G211" i="3"/>
  <c r="BT210" i="3"/>
  <c r="BR210" i="3"/>
  <c r="BP210" i="3"/>
  <c r="BN210" i="3"/>
  <c r="BL210" i="3"/>
  <c r="BA210" i="3"/>
  <c r="AZ210" i="3"/>
  <c r="AX210" i="3"/>
  <c r="AW210" i="3"/>
  <c r="AV210" i="3"/>
  <c r="AC210" i="3"/>
  <c r="H210" i="3"/>
  <c r="G210" i="3"/>
  <c r="BT209" i="3"/>
  <c r="BR209" i="3"/>
  <c r="BP209" i="3"/>
  <c r="BN209" i="3"/>
  <c r="BL209" i="3"/>
  <c r="BA209" i="3"/>
  <c r="AX209" i="3"/>
  <c r="AW209" i="3"/>
  <c r="AV209" i="3"/>
  <c r="AC209" i="3"/>
  <c r="H209" i="3"/>
  <c r="G209" i="3"/>
  <c r="BT208" i="3"/>
  <c r="BR208" i="3"/>
  <c r="BP208" i="3"/>
  <c r="BN208" i="3"/>
  <c r="BL208" i="3"/>
  <c r="BA208" i="3"/>
  <c r="AX208" i="3"/>
  <c r="AW208" i="3"/>
  <c r="AV208" i="3"/>
  <c r="AC208" i="3"/>
  <c r="H208" i="3"/>
  <c r="G208" i="3"/>
  <c r="BT397" i="3"/>
  <c r="BR397" i="3"/>
  <c r="BP397" i="3"/>
  <c r="BN397" i="3"/>
  <c r="BL397" i="3"/>
  <c r="BA397" i="3"/>
  <c r="AZ397" i="3"/>
  <c r="AX397" i="3"/>
  <c r="AW397" i="3"/>
  <c r="AV397" i="3"/>
  <c r="AC397" i="3"/>
  <c r="H397" i="3"/>
  <c r="G397" i="3"/>
  <c r="BT396" i="3"/>
  <c r="BR396" i="3"/>
  <c r="BP396" i="3"/>
  <c r="BN396" i="3"/>
  <c r="BL396" i="3"/>
  <c r="BA396" i="3"/>
  <c r="AX396" i="3"/>
  <c r="AW396" i="3"/>
  <c r="AV396" i="3"/>
  <c r="AC396" i="3"/>
  <c r="H396" i="3"/>
  <c r="G396" i="3"/>
  <c r="BT395" i="3"/>
  <c r="BR395" i="3"/>
  <c r="BP395" i="3"/>
  <c r="BN395" i="3"/>
  <c r="BL395" i="3"/>
  <c r="BA395" i="3"/>
  <c r="AX395" i="3"/>
  <c r="AW395" i="3"/>
  <c r="AV395" i="3"/>
  <c r="AC395" i="3"/>
  <c r="H395" i="3"/>
  <c r="G395" i="3"/>
  <c r="BT394" i="3"/>
  <c r="BR394" i="3"/>
  <c r="BP394" i="3"/>
  <c r="BN394" i="3"/>
  <c r="AX394" i="3"/>
  <c r="AW394" i="3"/>
  <c r="AV394" i="3"/>
  <c r="AC394" i="3"/>
  <c r="H394" i="3"/>
  <c r="BT393" i="3"/>
  <c r="BR393" i="3"/>
  <c r="BP393" i="3"/>
  <c r="BN393" i="3"/>
  <c r="BL393" i="3"/>
  <c r="AX393" i="3"/>
  <c r="AW393" i="3"/>
  <c r="AV393" i="3"/>
  <c r="AC393" i="3"/>
  <c r="H393" i="3"/>
  <c r="BT392" i="3"/>
  <c r="BR392" i="3"/>
  <c r="BP392" i="3"/>
  <c r="BN392" i="3"/>
  <c r="BA392" i="3"/>
  <c r="AX392" i="3"/>
  <c r="AW392" i="3"/>
  <c r="AV392" i="3"/>
  <c r="AC392" i="3"/>
  <c r="H392" i="3"/>
  <c r="G392" i="3"/>
  <c r="BT391" i="3"/>
  <c r="BR391" i="3"/>
  <c r="BP391" i="3"/>
  <c r="BN391" i="3"/>
  <c r="AX391" i="3"/>
  <c r="AW391" i="3"/>
  <c r="AV391" i="3"/>
  <c r="AC391" i="3"/>
  <c r="H391" i="3"/>
  <c r="BT390" i="3"/>
  <c r="BR390" i="3"/>
  <c r="BP390" i="3"/>
  <c r="BN390" i="3"/>
  <c r="AX390" i="3"/>
  <c r="AW390" i="3"/>
  <c r="AV390" i="3"/>
  <c r="AC390" i="3"/>
  <c r="H390" i="3"/>
  <c r="BT389" i="3"/>
  <c r="BR389" i="3"/>
  <c r="BP389" i="3"/>
  <c r="BN389" i="3"/>
  <c r="AX389" i="3"/>
  <c r="AW389" i="3"/>
  <c r="AV389" i="3"/>
  <c r="AC389" i="3"/>
  <c r="H389" i="3"/>
  <c r="BT388" i="3"/>
  <c r="BR388" i="3"/>
  <c r="BP388" i="3"/>
  <c r="BN388" i="3"/>
  <c r="BA388" i="3"/>
  <c r="AX388" i="3"/>
  <c r="AW388" i="3"/>
  <c r="AV388" i="3"/>
  <c r="AC388" i="3"/>
  <c r="H388" i="3"/>
  <c r="BT387" i="3"/>
  <c r="BR387" i="3"/>
  <c r="BP387" i="3"/>
  <c r="BN387" i="3"/>
  <c r="AX387" i="3"/>
  <c r="AW387" i="3"/>
  <c r="AV387" i="3"/>
  <c r="AC387" i="3"/>
  <c r="H387" i="3"/>
  <c r="G387" i="3"/>
  <c r="BT386" i="3"/>
  <c r="BR386" i="3"/>
  <c r="BP386" i="3"/>
  <c r="BN386" i="3"/>
  <c r="BL386" i="3"/>
  <c r="BA386" i="3"/>
  <c r="AX386" i="3"/>
  <c r="AW386" i="3"/>
  <c r="AV386" i="3"/>
  <c r="AC386" i="3"/>
  <c r="H386" i="3"/>
  <c r="BT385" i="3"/>
  <c r="BR385" i="3"/>
  <c r="BP385" i="3"/>
  <c r="BN385" i="3"/>
  <c r="BL385" i="3"/>
  <c r="BA385" i="3"/>
  <c r="AZ385" i="3"/>
  <c r="AX385" i="3"/>
  <c r="AW385" i="3"/>
  <c r="AV385" i="3"/>
  <c r="AC385" i="3"/>
  <c r="H385" i="3"/>
  <c r="BT384" i="3"/>
  <c r="BR384" i="3"/>
  <c r="BP384" i="3"/>
  <c r="BN384" i="3"/>
  <c r="BA384" i="3"/>
  <c r="AX384" i="3"/>
  <c r="AW384" i="3"/>
  <c r="AV384" i="3"/>
  <c r="AC384" i="3"/>
  <c r="H384" i="3"/>
  <c r="G384" i="3"/>
  <c r="BT383" i="3"/>
  <c r="BR383" i="3"/>
  <c r="BP383" i="3"/>
  <c r="BN383" i="3"/>
  <c r="BL383" i="3"/>
  <c r="AX383" i="3"/>
  <c r="AW383" i="3"/>
  <c r="AV383" i="3"/>
  <c r="AC383" i="3"/>
  <c r="H383" i="3"/>
  <c r="BT382" i="3"/>
  <c r="BR382" i="3"/>
  <c r="BP382" i="3"/>
  <c r="BN382" i="3"/>
  <c r="AX382" i="3"/>
  <c r="AW382" i="3"/>
  <c r="AV382" i="3"/>
  <c r="AC382" i="3"/>
  <c r="H382" i="3"/>
  <c r="G382" i="3"/>
  <c r="BT381" i="3"/>
  <c r="BR381" i="3"/>
  <c r="BP381" i="3"/>
  <c r="BN381" i="3"/>
  <c r="BL381" i="3"/>
  <c r="AX381" i="3"/>
  <c r="AW381" i="3"/>
  <c r="AV381" i="3"/>
  <c r="AC381" i="3"/>
  <c r="H381" i="3"/>
  <c r="BT380" i="3"/>
  <c r="BR380" i="3"/>
  <c r="BP380" i="3"/>
  <c r="BN380" i="3"/>
  <c r="AX380" i="3"/>
  <c r="AW380" i="3"/>
  <c r="AV380" i="3"/>
  <c r="AC380" i="3"/>
  <c r="H380" i="3"/>
  <c r="G380" i="3"/>
  <c r="BT379" i="3"/>
  <c r="BR379" i="3"/>
  <c r="BP379" i="3"/>
  <c r="BN379" i="3"/>
  <c r="AX379" i="3"/>
  <c r="AW379" i="3"/>
  <c r="AV379" i="3"/>
  <c r="AC379" i="3"/>
  <c r="H379" i="3"/>
  <c r="BT378" i="3"/>
  <c r="BR378" i="3"/>
  <c r="BP378" i="3"/>
  <c r="BN378" i="3"/>
  <c r="AX378" i="3"/>
  <c r="AW378" i="3"/>
  <c r="AV378" i="3"/>
  <c r="AC378" i="3"/>
  <c r="H378" i="3"/>
  <c r="G378" i="3"/>
  <c r="BT377" i="3"/>
  <c r="BR377" i="3"/>
  <c r="BP377" i="3"/>
  <c r="BN377" i="3"/>
  <c r="AX377" i="3"/>
  <c r="AW377" i="3"/>
  <c r="AV377" i="3"/>
  <c r="AC377" i="3"/>
  <c r="H377" i="3"/>
  <c r="BT376" i="3"/>
  <c r="BR376" i="3"/>
  <c r="BP376" i="3"/>
  <c r="BN376" i="3"/>
  <c r="AX376" i="3"/>
  <c r="AW376" i="3"/>
  <c r="AV376" i="3"/>
  <c r="AC376" i="3"/>
  <c r="H376" i="3"/>
  <c r="BT375" i="3"/>
  <c r="BR375" i="3"/>
  <c r="BP375" i="3"/>
  <c r="BN375" i="3"/>
  <c r="BL375" i="3"/>
  <c r="AX375" i="3"/>
  <c r="AW375" i="3"/>
  <c r="AV375" i="3"/>
  <c r="AC375" i="3"/>
  <c r="H375" i="3"/>
  <c r="BT374" i="3"/>
  <c r="BR374" i="3"/>
  <c r="BP374" i="3"/>
  <c r="BN374" i="3"/>
  <c r="BA374" i="3"/>
  <c r="AX374" i="3"/>
  <c r="AW374" i="3"/>
  <c r="AV374" i="3"/>
  <c r="AC374" i="3"/>
  <c r="H374" i="3"/>
  <c r="G374" i="3"/>
  <c r="BT373" i="3"/>
  <c r="BR373" i="3"/>
  <c r="BP373" i="3"/>
  <c r="BN373" i="3"/>
  <c r="AX373" i="3"/>
  <c r="AW373" i="3"/>
  <c r="AV373" i="3"/>
  <c r="AC373" i="3"/>
  <c r="H373" i="3"/>
  <c r="BT372" i="3"/>
  <c r="BR372" i="3"/>
  <c r="BP372" i="3"/>
  <c r="BN372" i="3"/>
  <c r="AX372" i="3"/>
  <c r="AW372" i="3"/>
  <c r="AV372" i="3"/>
  <c r="AC372" i="3"/>
  <c r="H372" i="3"/>
  <c r="BT371" i="3"/>
  <c r="BR371" i="3"/>
  <c r="BP371" i="3"/>
  <c r="BN371" i="3"/>
  <c r="AX371" i="3"/>
  <c r="AW371" i="3"/>
  <c r="AV371" i="3"/>
  <c r="AC371" i="3"/>
  <c r="H371" i="3"/>
  <c r="BT370" i="3"/>
  <c r="BR370" i="3"/>
  <c r="BP370" i="3"/>
  <c r="BN370" i="3"/>
  <c r="BA370" i="3"/>
  <c r="AX370" i="3"/>
  <c r="AW370" i="3"/>
  <c r="AV370" i="3"/>
  <c r="AC370" i="3"/>
  <c r="H370" i="3"/>
  <c r="BT369" i="3"/>
  <c r="BR369" i="3"/>
  <c r="BP369" i="3"/>
  <c r="BN369" i="3"/>
  <c r="AX369" i="3"/>
  <c r="AW369" i="3"/>
  <c r="AV369" i="3"/>
  <c r="AC369" i="3"/>
  <c r="H369" i="3"/>
  <c r="G369" i="3"/>
  <c r="BT368" i="3"/>
  <c r="BR368" i="3"/>
  <c r="BP368" i="3"/>
  <c r="BN368" i="3"/>
  <c r="BL368" i="3"/>
  <c r="BA368" i="3"/>
  <c r="AX368" i="3"/>
  <c r="AW368" i="3"/>
  <c r="AV368" i="3"/>
  <c r="AC368" i="3"/>
  <c r="H368" i="3"/>
  <c r="BT367" i="3"/>
  <c r="BR367" i="3"/>
  <c r="BP367" i="3"/>
  <c r="BN367" i="3"/>
  <c r="BL367" i="3"/>
  <c r="BA367" i="3"/>
  <c r="AX367" i="3"/>
  <c r="AW367" i="3"/>
  <c r="AV367" i="3"/>
  <c r="AC367" i="3"/>
  <c r="H367" i="3"/>
  <c r="BT366" i="3"/>
  <c r="BR366" i="3"/>
  <c r="BP366" i="3"/>
  <c r="BN366" i="3"/>
  <c r="BA366" i="3"/>
  <c r="AX366" i="3"/>
  <c r="AW366" i="3"/>
  <c r="AV366" i="3"/>
  <c r="AC366" i="3"/>
  <c r="H366" i="3"/>
  <c r="G366" i="3"/>
  <c r="BT365" i="3"/>
  <c r="BR365" i="3"/>
  <c r="BP365" i="3"/>
  <c r="BN365" i="3"/>
  <c r="BL365" i="3"/>
  <c r="AX365" i="3"/>
  <c r="AW365" i="3"/>
  <c r="AV365" i="3"/>
  <c r="AC365" i="3"/>
  <c r="H365" i="3"/>
  <c r="BT364" i="3"/>
  <c r="BR364" i="3"/>
  <c r="BP364" i="3"/>
  <c r="BN364" i="3"/>
  <c r="AX364" i="3"/>
  <c r="AW364" i="3"/>
  <c r="AV364" i="3"/>
  <c r="AC364" i="3"/>
  <c r="H364" i="3"/>
  <c r="G364" i="3"/>
  <c r="BT363" i="3"/>
  <c r="BR363" i="3"/>
  <c r="BP363" i="3"/>
  <c r="BN363" i="3"/>
  <c r="BL363" i="3"/>
  <c r="AX363" i="3"/>
  <c r="AW363" i="3"/>
  <c r="AV363" i="3"/>
  <c r="AC363" i="3"/>
  <c r="H363" i="3"/>
  <c r="BT362" i="3"/>
  <c r="BR362" i="3"/>
  <c r="BP362" i="3"/>
  <c r="BN362" i="3"/>
  <c r="AX362" i="3"/>
  <c r="AW362" i="3"/>
  <c r="AV362" i="3"/>
  <c r="AC362" i="3"/>
  <c r="H362" i="3"/>
  <c r="G362" i="3"/>
  <c r="BT361" i="3"/>
  <c r="BR361" i="3"/>
  <c r="BP361" i="3"/>
  <c r="BN361" i="3"/>
  <c r="AX361" i="3"/>
  <c r="AW361" i="3"/>
  <c r="AV361" i="3"/>
  <c r="AC361" i="3"/>
  <c r="H361" i="3"/>
  <c r="BT360" i="3"/>
  <c r="BR360" i="3"/>
  <c r="BP360" i="3"/>
  <c r="BN360" i="3"/>
  <c r="AX360" i="3"/>
  <c r="AW360" i="3"/>
  <c r="AV360" i="3"/>
  <c r="AC360" i="3"/>
  <c r="H360" i="3"/>
  <c r="BT359" i="3"/>
  <c r="BR359" i="3"/>
  <c r="BP359" i="3"/>
  <c r="BN359" i="3"/>
  <c r="BL359" i="3"/>
  <c r="AX359" i="3"/>
  <c r="AW359" i="3"/>
  <c r="AV359" i="3"/>
  <c r="AC359" i="3"/>
  <c r="H359" i="3"/>
  <c r="BT358" i="3"/>
  <c r="BR358" i="3"/>
  <c r="BP358" i="3"/>
  <c r="BN358" i="3"/>
  <c r="BA358" i="3"/>
  <c r="AX358" i="3"/>
  <c r="AW358" i="3"/>
  <c r="AV358" i="3"/>
  <c r="AC358" i="3"/>
  <c r="H358" i="3"/>
  <c r="G358" i="3"/>
  <c r="BT357" i="3"/>
  <c r="BR357" i="3"/>
  <c r="BP357" i="3"/>
  <c r="BN357" i="3"/>
  <c r="AX357" i="3"/>
  <c r="AW357" i="3"/>
  <c r="AV357" i="3"/>
  <c r="AC357" i="3"/>
  <c r="H357" i="3"/>
  <c r="BT356" i="3"/>
  <c r="BR356" i="3"/>
  <c r="BP356" i="3"/>
  <c r="BN356" i="3"/>
  <c r="AX356" i="3"/>
  <c r="AW356" i="3"/>
  <c r="AV356" i="3"/>
  <c r="AC356" i="3"/>
  <c r="H356" i="3"/>
  <c r="BT355" i="3"/>
  <c r="BR355" i="3"/>
  <c r="BP355" i="3"/>
  <c r="BN355" i="3"/>
  <c r="AX355" i="3"/>
  <c r="AW355" i="3"/>
  <c r="AV355" i="3"/>
  <c r="AC355" i="3"/>
  <c r="H355" i="3"/>
  <c r="BT354" i="3"/>
  <c r="BR354" i="3"/>
  <c r="BP354" i="3"/>
  <c r="BN354" i="3"/>
  <c r="BL354" i="3"/>
  <c r="BA354" i="3"/>
  <c r="AX354" i="3"/>
  <c r="AW354" i="3"/>
  <c r="AV354" i="3"/>
  <c r="AC354" i="3"/>
  <c r="H354" i="3"/>
  <c r="BT353" i="3"/>
  <c r="BR353" i="3"/>
  <c r="BP353" i="3"/>
  <c r="BN353" i="3"/>
  <c r="BL353" i="3"/>
  <c r="BA353" i="3"/>
  <c r="AX353" i="3"/>
  <c r="AW353" i="3"/>
  <c r="AV353" i="3"/>
  <c r="AC353" i="3"/>
  <c r="H353" i="3"/>
  <c r="BT352" i="3"/>
  <c r="BR352" i="3"/>
  <c r="BP352" i="3"/>
  <c r="BN352" i="3"/>
  <c r="BA352" i="3"/>
  <c r="AX352" i="3"/>
  <c r="AW352" i="3"/>
  <c r="AV352" i="3"/>
  <c r="AC352" i="3"/>
  <c r="H352" i="3"/>
  <c r="BT351" i="3"/>
  <c r="BR351" i="3"/>
  <c r="BP351" i="3"/>
  <c r="BN351" i="3"/>
  <c r="AX351" i="3"/>
  <c r="AW351" i="3"/>
  <c r="AV351" i="3"/>
  <c r="AC351" i="3"/>
  <c r="H351" i="3"/>
  <c r="G351" i="3"/>
  <c r="BT350" i="3"/>
  <c r="BR350" i="3"/>
  <c r="BP350" i="3"/>
  <c r="BN350" i="3"/>
  <c r="BL350" i="3"/>
  <c r="BA350" i="3"/>
  <c r="AX350" i="3"/>
  <c r="AW350" i="3"/>
  <c r="AV350" i="3"/>
  <c r="AC350" i="3"/>
  <c r="H350" i="3"/>
  <c r="BT349" i="3"/>
  <c r="BR349" i="3"/>
  <c r="BP349" i="3"/>
  <c r="BN349" i="3"/>
  <c r="BA349" i="3"/>
  <c r="AX349" i="3"/>
  <c r="AW349" i="3"/>
  <c r="AV349" i="3"/>
  <c r="AC349" i="3"/>
  <c r="H349" i="3"/>
  <c r="G349" i="3"/>
  <c r="BT348" i="3"/>
  <c r="BR348" i="3"/>
  <c r="BP348" i="3"/>
  <c r="BN348" i="3"/>
  <c r="BL348" i="3"/>
  <c r="BA348" i="3"/>
  <c r="AX348" i="3"/>
  <c r="AW348" i="3"/>
  <c r="AV348" i="3"/>
  <c r="AC348" i="3"/>
  <c r="H348" i="3"/>
  <c r="BT347" i="3"/>
  <c r="BR347" i="3"/>
  <c r="BP347" i="3"/>
  <c r="BN347" i="3"/>
  <c r="AX347" i="3"/>
  <c r="AW347" i="3"/>
  <c r="AV347" i="3"/>
  <c r="AC347" i="3"/>
  <c r="H347" i="3"/>
  <c r="G347" i="3"/>
  <c r="BT346" i="3"/>
  <c r="BR346" i="3"/>
  <c r="BP346" i="3"/>
  <c r="BN346" i="3"/>
  <c r="BL346" i="3"/>
  <c r="AX346" i="3"/>
  <c r="AW346" i="3"/>
  <c r="AV346" i="3"/>
  <c r="AC346" i="3"/>
  <c r="H346" i="3"/>
  <c r="BT345" i="3"/>
  <c r="BR345" i="3"/>
  <c r="BP345" i="3"/>
  <c r="BN345" i="3"/>
  <c r="AX345" i="3"/>
  <c r="AW345" i="3"/>
  <c r="AV345" i="3"/>
  <c r="AC345" i="3"/>
  <c r="H345" i="3"/>
  <c r="G345" i="3"/>
  <c r="BT344" i="3"/>
  <c r="BR344" i="3"/>
  <c r="BP344" i="3"/>
  <c r="BN344" i="3"/>
  <c r="AX344" i="3"/>
  <c r="AW344" i="3"/>
  <c r="AV344" i="3"/>
  <c r="AC344" i="3"/>
  <c r="H344" i="3"/>
  <c r="BT343" i="3"/>
  <c r="BR343" i="3"/>
  <c r="BP343" i="3"/>
  <c r="BN343" i="3"/>
  <c r="AX343" i="3"/>
  <c r="AW343" i="3"/>
  <c r="AV343" i="3"/>
  <c r="AC343" i="3"/>
  <c r="H343" i="3"/>
  <c r="G343" i="3"/>
  <c r="BT342" i="3"/>
  <c r="BR342" i="3"/>
  <c r="BP342" i="3"/>
  <c r="BN342" i="3"/>
  <c r="AX342" i="3"/>
  <c r="AW342" i="3"/>
  <c r="AV342" i="3"/>
  <c r="AC342" i="3"/>
  <c r="H342" i="3"/>
  <c r="BT341" i="3"/>
  <c r="BR341" i="3"/>
  <c r="BP341" i="3"/>
  <c r="BN341" i="3"/>
  <c r="AX341" i="3"/>
  <c r="AW341" i="3"/>
  <c r="AV341" i="3"/>
  <c r="AC341" i="3"/>
  <c r="H341" i="3"/>
  <c r="BT340" i="3"/>
  <c r="BR340" i="3"/>
  <c r="BP340" i="3"/>
  <c r="BN340" i="3"/>
  <c r="BL340" i="3"/>
  <c r="AX340" i="3"/>
  <c r="AW340" i="3"/>
  <c r="AV340" i="3"/>
  <c r="AC340" i="3"/>
  <c r="H340" i="3"/>
  <c r="BT339" i="3"/>
  <c r="BR339" i="3"/>
  <c r="BP339" i="3"/>
  <c r="BN339" i="3"/>
  <c r="BA339" i="3"/>
  <c r="AX339" i="3"/>
  <c r="AW339" i="3"/>
  <c r="AV339" i="3"/>
  <c r="AC339" i="3"/>
  <c r="H339" i="3"/>
  <c r="G339" i="3"/>
  <c r="BT338" i="3"/>
  <c r="BR338" i="3"/>
  <c r="BP338" i="3"/>
  <c r="BN338" i="3"/>
  <c r="AX338" i="3"/>
  <c r="AW338" i="3"/>
  <c r="AV338" i="3"/>
  <c r="AC338" i="3"/>
  <c r="H338" i="3"/>
  <c r="BT337" i="3"/>
  <c r="BR337" i="3"/>
  <c r="BP337" i="3"/>
  <c r="BN337" i="3"/>
  <c r="AX337" i="3"/>
  <c r="AW337" i="3"/>
  <c r="AV337" i="3"/>
  <c r="AC337" i="3"/>
  <c r="H337" i="3"/>
  <c r="BT336" i="3"/>
  <c r="BR336" i="3"/>
  <c r="BP336" i="3"/>
  <c r="BN336" i="3"/>
  <c r="AX336" i="3"/>
  <c r="AW336" i="3"/>
  <c r="AV336" i="3"/>
  <c r="AC336" i="3"/>
  <c r="H336" i="3"/>
  <c r="BT335" i="3"/>
  <c r="BR335" i="3"/>
  <c r="BP335" i="3"/>
  <c r="BN335" i="3"/>
  <c r="BA335" i="3"/>
  <c r="AX335" i="3"/>
  <c r="AW335" i="3"/>
  <c r="AV335" i="3"/>
  <c r="AC335" i="3"/>
  <c r="H335" i="3"/>
  <c r="BT334" i="3"/>
  <c r="BR334" i="3"/>
  <c r="BP334" i="3"/>
  <c r="BN334" i="3"/>
  <c r="AX334" i="3"/>
  <c r="AW334" i="3"/>
  <c r="AV334" i="3"/>
  <c r="AC334" i="3"/>
  <c r="H334" i="3"/>
  <c r="G334" i="3"/>
  <c r="BT333" i="3"/>
  <c r="BR333" i="3"/>
  <c r="BP333" i="3"/>
  <c r="BN333" i="3"/>
  <c r="BL333" i="3"/>
  <c r="BA333" i="3"/>
  <c r="AX333" i="3"/>
  <c r="AW333" i="3"/>
  <c r="AV333" i="3"/>
  <c r="AC333" i="3"/>
  <c r="H333" i="3"/>
  <c r="BT332" i="3"/>
  <c r="BR332" i="3"/>
  <c r="BP332" i="3"/>
  <c r="BN332" i="3"/>
  <c r="BL332" i="3"/>
  <c r="BA332" i="3"/>
  <c r="AZ332" i="3"/>
  <c r="AX332" i="3"/>
  <c r="AW332" i="3"/>
  <c r="AV332" i="3"/>
  <c r="AC332" i="3"/>
  <c r="H332" i="3"/>
  <c r="BT331" i="3"/>
  <c r="BR331" i="3"/>
  <c r="BP331" i="3"/>
  <c r="BN331" i="3"/>
  <c r="BA331" i="3"/>
  <c r="AX331" i="3"/>
  <c r="AW331" i="3"/>
  <c r="AV331" i="3"/>
  <c r="AC331" i="3"/>
  <c r="H331" i="3"/>
  <c r="G331" i="3"/>
  <c r="BT330" i="3"/>
  <c r="BR330" i="3"/>
  <c r="BP330" i="3"/>
  <c r="BN330" i="3"/>
  <c r="BL330" i="3"/>
  <c r="AX330" i="3"/>
  <c r="AW330" i="3"/>
  <c r="AV330" i="3"/>
  <c r="AC330" i="3"/>
  <c r="H330" i="3"/>
  <c r="BT329" i="3"/>
  <c r="BR329" i="3"/>
  <c r="BP329" i="3"/>
  <c r="BN329" i="3"/>
  <c r="AX329" i="3"/>
  <c r="AW329" i="3"/>
  <c r="AV329" i="3"/>
  <c r="AC329" i="3"/>
  <c r="H329" i="3"/>
  <c r="G329" i="3"/>
  <c r="BT328" i="3"/>
  <c r="BR328" i="3"/>
  <c r="BP328" i="3"/>
  <c r="BN328" i="3"/>
  <c r="BL328" i="3"/>
  <c r="AX328" i="3"/>
  <c r="AW328" i="3"/>
  <c r="AV328" i="3"/>
  <c r="AC328" i="3"/>
  <c r="H328" i="3"/>
  <c r="BT327" i="3"/>
  <c r="BR327" i="3"/>
  <c r="BP327" i="3"/>
  <c r="BN327" i="3"/>
  <c r="AX327" i="3"/>
  <c r="AW327" i="3"/>
  <c r="AV327" i="3"/>
  <c r="AC327" i="3"/>
  <c r="H327" i="3"/>
  <c r="BT326" i="3"/>
  <c r="BR326" i="3"/>
  <c r="BP326" i="3"/>
  <c r="BN326" i="3"/>
  <c r="AX326" i="3"/>
  <c r="AW326" i="3"/>
  <c r="AV326" i="3"/>
  <c r="AC326" i="3"/>
  <c r="H326" i="3"/>
  <c r="BT325" i="3"/>
  <c r="BR325" i="3"/>
  <c r="BP325" i="3"/>
  <c r="BN325" i="3"/>
  <c r="AX325" i="3"/>
  <c r="AW325" i="3"/>
  <c r="AV325" i="3"/>
  <c r="AC325" i="3"/>
  <c r="H325" i="3"/>
  <c r="BT324" i="3"/>
  <c r="BR324" i="3"/>
  <c r="BP324" i="3"/>
  <c r="BN324" i="3"/>
  <c r="BL324" i="3"/>
  <c r="AX324" i="3"/>
  <c r="AW324" i="3"/>
  <c r="AV324" i="3"/>
  <c r="AC324" i="3"/>
  <c r="H324" i="3"/>
  <c r="BT323" i="3"/>
  <c r="BR323" i="3"/>
  <c r="BP323" i="3"/>
  <c r="BN323" i="3"/>
  <c r="BA323" i="3"/>
  <c r="AX323" i="3"/>
  <c r="AW323" i="3"/>
  <c r="AV323" i="3"/>
  <c r="AC323" i="3"/>
  <c r="H323" i="3"/>
  <c r="G323" i="3"/>
  <c r="BT322" i="3"/>
  <c r="BR322" i="3"/>
  <c r="BP322" i="3"/>
  <c r="BN322" i="3"/>
  <c r="AX322" i="3"/>
  <c r="AW322" i="3"/>
  <c r="AV322" i="3"/>
  <c r="AC322" i="3"/>
  <c r="H322" i="3"/>
  <c r="BT321" i="3"/>
  <c r="BR321" i="3"/>
  <c r="BP321" i="3"/>
  <c r="BN321" i="3"/>
  <c r="AX321" i="3"/>
  <c r="AW321" i="3"/>
  <c r="AV321" i="3"/>
  <c r="AC321" i="3"/>
  <c r="H321" i="3"/>
  <c r="BT320" i="3"/>
  <c r="BR320" i="3"/>
  <c r="BP320" i="3"/>
  <c r="BN320" i="3"/>
  <c r="AX320" i="3"/>
  <c r="AW320" i="3"/>
  <c r="AV320" i="3"/>
  <c r="AC320" i="3"/>
  <c r="H320" i="3"/>
  <c r="BT319" i="3"/>
  <c r="BR319" i="3"/>
  <c r="BP319" i="3"/>
  <c r="BN319" i="3"/>
  <c r="BA319" i="3"/>
  <c r="AX319" i="3"/>
  <c r="AW319" i="3"/>
  <c r="AV319" i="3"/>
  <c r="AC319" i="3"/>
  <c r="H319" i="3"/>
  <c r="BT318" i="3"/>
  <c r="BR318" i="3"/>
  <c r="BP318" i="3"/>
  <c r="BN318" i="3"/>
  <c r="AX318" i="3"/>
  <c r="AW318" i="3"/>
  <c r="AV318" i="3"/>
  <c r="AC318" i="3"/>
  <c r="H318" i="3"/>
  <c r="BT317" i="3"/>
  <c r="BR317" i="3"/>
  <c r="BP317" i="3"/>
  <c r="BN317" i="3"/>
  <c r="BL317" i="3"/>
  <c r="BA317" i="3"/>
  <c r="AX317" i="3"/>
  <c r="AW317" i="3"/>
  <c r="AV317" i="3"/>
  <c r="AC317" i="3"/>
  <c r="H317" i="3"/>
  <c r="BT316" i="3"/>
  <c r="BR316" i="3"/>
  <c r="BP316" i="3"/>
  <c r="BN316" i="3"/>
  <c r="BL316" i="3"/>
  <c r="BA316" i="3"/>
  <c r="AZ316" i="3"/>
  <c r="AX316" i="3"/>
  <c r="AW316" i="3"/>
  <c r="AV316" i="3"/>
  <c r="AC316" i="3"/>
  <c r="H316" i="3"/>
  <c r="BT315" i="3"/>
  <c r="BR315" i="3"/>
  <c r="BP315" i="3"/>
  <c r="BN315" i="3"/>
  <c r="BA315" i="3"/>
  <c r="AX315" i="3"/>
  <c r="AW315" i="3"/>
  <c r="AV315" i="3"/>
  <c r="AC315" i="3"/>
  <c r="H315" i="3"/>
  <c r="BT314" i="3"/>
  <c r="BR314" i="3"/>
  <c r="BP314" i="3"/>
  <c r="BN314" i="3"/>
  <c r="BL314" i="3"/>
  <c r="AX314" i="3"/>
  <c r="AW314" i="3"/>
  <c r="AV314" i="3"/>
  <c r="AC314" i="3"/>
  <c r="H314" i="3"/>
  <c r="BT313" i="3"/>
  <c r="BR313" i="3"/>
  <c r="BP313" i="3"/>
  <c r="BN313" i="3"/>
  <c r="AX313" i="3"/>
  <c r="AW313" i="3"/>
  <c r="AV313" i="3"/>
  <c r="AC313" i="3"/>
  <c r="H313" i="3"/>
  <c r="BT312" i="3"/>
  <c r="BR312" i="3"/>
  <c r="BP312" i="3"/>
  <c r="BN312" i="3"/>
  <c r="BL312" i="3"/>
  <c r="AX312" i="3"/>
  <c r="AW312" i="3"/>
  <c r="AV312" i="3"/>
  <c r="AC312" i="3"/>
  <c r="H312" i="3"/>
  <c r="BT311" i="3"/>
  <c r="BR311" i="3"/>
  <c r="BP311" i="3"/>
  <c r="BN311" i="3"/>
  <c r="AX311" i="3"/>
  <c r="AW311" i="3"/>
  <c r="AV311" i="3"/>
  <c r="AC311" i="3"/>
  <c r="H311" i="3"/>
  <c r="BT310" i="3"/>
  <c r="BR310" i="3"/>
  <c r="BP310" i="3"/>
  <c r="BN310" i="3"/>
  <c r="AX310" i="3"/>
  <c r="AW310" i="3"/>
  <c r="AV310" i="3"/>
  <c r="AC310" i="3"/>
  <c r="H310" i="3"/>
  <c r="BT309" i="3"/>
  <c r="BR309" i="3"/>
  <c r="BP309" i="3"/>
  <c r="BN309" i="3"/>
  <c r="AX309" i="3"/>
  <c r="AW309" i="3"/>
  <c r="AV309" i="3"/>
  <c r="AC309" i="3"/>
  <c r="H309" i="3"/>
  <c r="BT308" i="3"/>
  <c r="BR308" i="3"/>
  <c r="BP308" i="3"/>
  <c r="BN308" i="3"/>
  <c r="BL308" i="3"/>
  <c r="AX308" i="3"/>
  <c r="AW308" i="3"/>
  <c r="AV308" i="3"/>
  <c r="AC308" i="3"/>
  <c r="H308" i="3"/>
  <c r="BT307" i="3"/>
  <c r="BR307" i="3"/>
  <c r="BP307" i="3"/>
  <c r="BN307" i="3"/>
  <c r="BA307" i="3"/>
  <c r="AX307" i="3"/>
  <c r="AW307" i="3"/>
  <c r="AV307" i="3"/>
  <c r="AC307" i="3"/>
  <c r="H307" i="3"/>
  <c r="G307" i="3"/>
  <c r="BT306" i="3"/>
  <c r="BR306" i="3"/>
  <c r="BP306" i="3"/>
  <c r="BN306" i="3"/>
  <c r="AX306" i="3"/>
  <c r="AW306" i="3"/>
  <c r="AV306" i="3"/>
  <c r="AC306" i="3"/>
  <c r="H306" i="3"/>
  <c r="BT305" i="3"/>
  <c r="BR305" i="3"/>
  <c r="BP305" i="3"/>
  <c r="BN305" i="3"/>
  <c r="AX305" i="3"/>
  <c r="AW305" i="3"/>
  <c r="AV305" i="3"/>
  <c r="AC305" i="3"/>
  <c r="H305" i="3"/>
  <c r="BT304" i="3"/>
  <c r="BR304" i="3"/>
  <c r="BP304" i="3"/>
  <c r="BN304" i="3"/>
  <c r="AX304" i="3"/>
  <c r="AW304" i="3"/>
  <c r="AV304" i="3"/>
  <c r="AC304" i="3"/>
  <c r="H304" i="3"/>
  <c r="BT303" i="3"/>
  <c r="BR303" i="3"/>
  <c r="BP303" i="3"/>
  <c r="BN303" i="3"/>
  <c r="BA303" i="3"/>
  <c r="AX303" i="3"/>
  <c r="AW303" i="3"/>
  <c r="AV303" i="3"/>
  <c r="AC303" i="3"/>
  <c r="H303" i="3"/>
  <c r="BT492" i="3"/>
  <c r="BR492" i="3"/>
  <c r="BP492" i="3"/>
  <c r="BN492" i="3"/>
  <c r="BL492" i="3"/>
  <c r="BA492" i="3"/>
  <c r="AZ492" i="3"/>
  <c r="AX492" i="3"/>
  <c r="AW492" i="3"/>
  <c r="AV492" i="3"/>
  <c r="AC492" i="3"/>
  <c r="H492" i="3"/>
  <c r="G492" i="3"/>
  <c r="BT491" i="3"/>
  <c r="BR491" i="3"/>
  <c r="BP491" i="3"/>
  <c r="BN491" i="3"/>
  <c r="BL491" i="3"/>
  <c r="BA491" i="3"/>
  <c r="AX491" i="3"/>
  <c r="AW491" i="3"/>
  <c r="AV491" i="3"/>
  <c r="AC491" i="3"/>
  <c r="H491" i="3"/>
  <c r="G491" i="3"/>
  <c r="BT490" i="3"/>
  <c r="BR490" i="3"/>
  <c r="BP490" i="3"/>
  <c r="BN490" i="3"/>
  <c r="BL490" i="3"/>
  <c r="BA490" i="3"/>
  <c r="AX490" i="3"/>
  <c r="AW490" i="3"/>
  <c r="AV490" i="3"/>
  <c r="AC490" i="3"/>
  <c r="H490" i="3"/>
  <c r="G490" i="3"/>
  <c r="BT489" i="3"/>
  <c r="BR489" i="3"/>
  <c r="BP489" i="3"/>
  <c r="BN489" i="3"/>
  <c r="BL489" i="3"/>
  <c r="BA489" i="3"/>
  <c r="AX489" i="3"/>
  <c r="AW489" i="3"/>
  <c r="AV489" i="3"/>
  <c r="AC489" i="3"/>
  <c r="H489" i="3"/>
  <c r="G489" i="3"/>
  <c r="BT488" i="3"/>
  <c r="BR488" i="3"/>
  <c r="BP488" i="3"/>
  <c r="BN488" i="3"/>
  <c r="BL488" i="3"/>
  <c r="BA488" i="3"/>
  <c r="AX488" i="3"/>
  <c r="AW488" i="3"/>
  <c r="AV488" i="3"/>
  <c r="AC488" i="3"/>
  <c r="H488" i="3"/>
  <c r="G488" i="3"/>
  <c r="BT487" i="3"/>
  <c r="BR487" i="3"/>
  <c r="BP487" i="3"/>
  <c r="BN487" i="3"/>
  <c r="BL487" i="3"/>
  <c r="BA487" i="3"/>
  <c r="AZ487" i="3"/>
  <c r="AX487" i="3"/>
  <c r="AW487" i="3"/>
  <c r="AV487" i="3"/>
  <c r="AC487" i="3"/>
  <c r="H487" i="3"/>
  <c r="BT486" i="3"/>
  <c r="BR486" i="3"/>
  <c r="BP486" i="3"/>
  <c r="BN486" i="3"/>
  <c r="BL486" i="3"/>
  <c r="BA486" i="3"/>
  <c r="AZ486" i="3"/>
  <c r="AX486" i="3"/>
  <c r="AW486" i="3"/>
  <c r="AV486" i="3"/>
  <c r="AC486" i="3"/>
  <c r="H486" i="3"/>
  <c r="G486" i="3"/>
  <c r="BT485" i="3"/>
  <c r="BR485" i="3"/>
  <c r="BP485" i="3"/>
  <c r="BN485" i="3"/>
  <c r="BA485" i="3"/>
  <c r="AX485" i="3"/>
  <c r="AW485" i="3"/>
  <c r="AV485" i="3"/>
  <c r="AC485" i="3"/>
  <c r="H485" i="3"/>
  <c r="G485" i="3"/>
  <c r="BT484" i="3"/>
  <c r="BR484" i="3"/>
  <c r="BP484" i="3"/>
  <c r="BN484" i="3"/>
  <c r="BL484" i="3"/>
  <c r="BA484" i="3"/>
  <c r="AZ484" i="3"/>
  <c r="AX484" i="3"/>
  <c r="AW484" i="3"/>
  <c r="AV484" i="3"/>
  <c r="AC484" i="3"/>
  <c r="H484" i="3"/>
  <c r="G484" i="3"/>
  <c r="BT483" i="3"/>
  <c r="BR483" i="3"/>
  <c r="BP483" i="3"/>
  <c r="BN483" i="3"/>
  <c r="BL483" i="3"/>
  <c r="BA483" i="3"/>
  <c r="AZ483" i="3"/>
  <c r="AX483" i="3"/>
  <c r="AW483" i="3"/>
  <c r="AV483" i="3"/>
  <c r="AC483" i="3"/>
  <c r="H483" i="3"/>
  <c r="BT482" i="3"/>
  <c r="BR482" i="3"/>
  <c r="BP482" i="3"/>
  <c r="BN482" i="3"/>
  <c r="BL482" i="3"/>
  <c r="AX482" i="3"/>
  <c r="AW482" i="3"/>
  <c r="AV482" i="3"/>
  <c r="AC482" i="3"/>
  <c r="H482" i="3"/>
  <c r="G482" i="3"/>
  <c r="BT481" i="3"/>
  <c r="BR481" i="3"/>
  <c r="BP481" i="3"/>
  <c r="BN481" i="3"/>
  <c r="BA481" i="3"/>
  <c r="AX481" i="3"/>
  <c r="AW481" i="3"/>
  <c r="AV481" i="3"/>
  <c r="AC481" i="3"/>
  <c r="H481" i="3"/>
  <c r="G481" i="3"/>
  <c r="BT480" i="3"/>
  <c r="BR480" i="3"/>
  <c r="BP480" i="3"/>
  <c r="BN480" i="3"/>
  <c r="BL480" i="3"/>
  <c r="BA480" i="3"/>
  <c r="AZ480" i="3"/>
  <c r="AX480" i="3"/>
  <c r="AW480" i="3"/>
  <c r="AV480" i="3"/>
  <c r="AC480" i="3"/>
  <c r="H480" i="3"/>
  <c r="G480" i="3"/>
  <c r="BT479" i="3"/>
  <c r="BR479" i="3"/>
  <c r="BP479" i="3"/>
  <c r="BN479" i="3"/>
  <c r="BL479" i="3"/>
  <c r="BA479" i="3"/>
  <c r="AZ479" i="3"/>
  <c r="AX479" i="3"/>
  <c r="AW479" i="3"/>
  <c r="AV479" i="3"/>
  <c r="AC479" i="3"/>
  <c r="H479" i="3"/>
  <c r="G479" i="3"/>
  <c r="BT478" i="3"/>
  <c r="BR478" i="3"/>
  <c r="BP478" i="3"/>
  <c r="BN478" i="3"/>
  <c r="BL478" i="3"/>
  <c r="AX478" i="3"/>
  <c r="AW478" i="3"/>
  <c r="AV478" i="3"/>
  <c r="AC478" i="3"/>
  <c r="H478" i="3"/>
  <c r="G478" i="3"/>
  <c r="BT477" i="3"/>
  <c r="BR477" i="3"/>
  <c r="BP477" i="3"/>
  <c r="BN477" i="3"/>
  <c r="BL477" i="3"/>
  <c r="AX477" i="3"/>
  <c r="AW477" i="3"/>
  <c r="AV477" i="3"/>
  <c r="AC477" i="3"/>
  <c r="H477" i="3"/>
  <c r="G477" i="3"/>
  <c r="BT476" i="3"/>
  <c r="BR476" i="3"/>
  <c r="BP476" i="3"/>
  <c r="BN476" i="3"/>
  <c r="BL476" i="3"/>
  <c r="BA476" i="3"/>
  <c r="AX476" i="3"/>
  <c r="AW476" i="3"/>
  <c r="AV476" i="3"/>
  <c r="AC476" i="3"/>
  <c r="H476" i="3"/>
  <c r="G476" i="3"/>
  <c r="BT475" i="3"/>
  <c r="BR475" i="3"/>
  <c r="BP475" i="3"/>
  <c r="BN475" i="3"/>
  <c r="BL475" i="3"/>
  <c r="BA475" i="3"/>
  <c r="AZ475" i="3"/>
  <c r="AX475" i="3"/>
  <c r="AW475" i="3"/>
  <c r="AV475" i="3"/>
  <c r="AC475" i="3"/>
  <c r="H475" i="3"/>
  <c r="BT474" i="3"/>
  <c r="BR474" i="3"/>
  <c r="BP474" i="3"/>
  <c r="BN474" i="3"/>
  <c r="BL474" i="3"/>
  <c r="BA474" i="3"/>
  <c r="AZ474" i="3"/>
  <c r="AX474" i="3"/>
  <c r="AW474" i="3"/>
  <c r="AV474" i="3"/>
  <c r="AC474" i="3"/>
  <c r="H474" i="3"/>
  <c r="G474" i="3"/>
  <c r="BT473" i="3"/>
  <c r="BR473" i="3"/>
  <c r="BP473" i="3"/>
  <c r="BN473" i="3"/>
  <c r="BL473" i="3"/>
  <c r="BA473" i="3"/>
  <c r="AX473" i="3"/>
  <c r="AW473" i="3"/>
  <c r="AV473" i="3"/>
  <c r="AC473" i="3"/>
  <c r="H473" i="3"/>
  <c r="G473" i="3"/>
  <c r="BT472" i="3"/>
  <c r="BR472" i="3"/>
  <c r="BP472" i="3"/>
  <c r="BN472" i="3"/>
  <c r="BL472" i="3"/>
  <c r="BA472" i="3"/>
  <c r="AZ472" i="3"/>
  <c r="AX472" i="3"/>
  <c r="AW472" i="3"/>
  <c r="AV472" i="3"/>
  <c r="AC472" i="3"/>
  <c r="H472" i="3"/>
  <c r="BT471" i="3"/>
  <c r="BR471" i="3"/>
  <c r="BP471" i="3"/>
  <c r="BN471" i="3"/>
  <c r="BL471" i="3"/>
  <c r="BA471" i="3"/>
  <c r="AZ471" i="3"/>
  <c r="AX471" i="3"/>
  <c r="AW471" i="3"/>
  <c r="AV471" i="3"/>
  <c r="AC471" i="3"/>
  <c r="H471" i="3"/>
  <c r="G471" i="3"/>
  <c r="BT470" i="3"/>
  <c r="BR470" i="3"/>
  <c r="BP470" i="3"/>
  <c r="BN470" i="3"/>
  <c r="BL470" i="3"/>
  <c r="BA470" i="3"/>
  <c r="AX470" i="3"/>
  <c r="AW470" i="3"/>
  <c r="AV470" i="3"/>
  <c r="AC470" i="3"/>
  <c r="H470" i="3"/>
  <c r="G470" i="3"/>
  <c r="BT469" i="3"/>
  <c r="BR469" i="3"/>
  <c r="BP469" i="3"/>
  <c r="BN469" i="3"/>
  <c r="BL469" i="3"/>
  <c r="BA469" i="3"/>
  <c r="AX469" i="3"/>
  <c r="AW469" i="3"/>
  <c r="AV469" i="3"/>
  <c r="AC469" i="3"/>
  <c r="H469" i="3"/>
  <c r="G469" i="3"/>
  <c r="BT468" i="3"/>
  <c r="BR468" i="3"/>
  <c r="BP468" i="3"/>
  <c r="BN468" i="3"/>
  <c r="BL468" i="3"/>
  <c r="BA468" i="3"/>
  <c r="AZ468" i="3"/>
  <c r="AX468" i="3"/>
  <c r="AW468" i="3"/>
  <c r="AV468" i="3"/>
  <c r="AC468" i="3"/>
  <c r="H468" i="3"/>
  <c r="BT467" i="3"/>
  <c r="BR467" i="3"/>
  <c r="BP467" i="3"/>
  <c r="BN467" i="3"/>
  <c r="BL467" i="3"/>
  <c r="BA467" i="3"/>
  <c r="AZ467" i="3"/>
  <c r="AX467" i="3"/>
  <c r="AW467" i="3"/>
  <c r="AV467" i="3"/>
  <c r="AC467" i="3"/>
  <c r="H467" i="3"/>
  <c r="G467" i="3"/>
  <c r="BT466" i="3"/>
  <c r="BR466" i="3"/>
  <c r="BP466" i="3"/>
  <c r="BN466" i="3"/>
  <c r="BL466" i="3"/>
  <c r="BA466" i="3"/>
  <c r="AX466" i="3"/>
  <c r="AW466" i="3"/>
  <c r="AV466" i="3"/>
  <c r="AC466" i="3"/>
  <c r="H466" i="3"/>
  <c r="G466" i="3"/>
  <c r="BT465" i="3"/>
  <c r="BR465" i="3"/>
  <c r="BP465" i="3"/>
  <c r="BN465" i="3"/>
  <c r="BL465" i="3"/>
  <c r="BA465" i="3"/>
  <c r="AX465" i="3"/>
  <c r="AW465" i="3"/>
  <c r="AV465" i="3"/>
  <c r="AC465" i="3"/>
  <c r="H465" i="3"/>
  <c r="G465" i="3"/>
  <c r="BT464" i="3"/>
  <c r="BR464" i="3"/>
  <c r="BP464" i="3"/>
  <c r="BN464" i="3"/>
  <c r="BL464" i="3"/>
  <c r="AX464" i="3"/>
  <c r="AW464" i="3"/>
  <c r="AV464" i="3"/>
  <c r="AC464" i="3"/>
  <c r="H464" i="3"/>
  <c r="G464" i="3"/>
  <c r="BT463" i="3"/>
  <c r="BR463" i="3"/>
  <c r="BP463" i="3"/>
  <c r="BN463" i="3"/>
  <c r="BL463" i="3"/>
  <c r="BA463" i="3"/>
  <c r="AZ463" i="3"/>
  <c r="AX463" i="3"/>
  <c r="AW463" i="3"/>
  <c r="AV463" i="3"/>
  <c r="AC463" i="3"/>
  <c r="H463" i="3"/>
  <c r="G463" i="3"/>
  <c r="BT462" i="3"/>
  <c r="BR462" i="3"/>
  <c r="BP462" i="3"/>
  <c r="BN462" i="3"/>
  <c r="BL462" i="3"/>
  <c r="BA462" i="3"/>
  <c r="AZ462" i="3"/>
  <c r="AX462" i="3"/>
  <c r="AW462" i="3"/>
  <c r="AV462" i="3"/>
  <c r="AC462" i="3"/>
  <c r="H462" i="3"/>
  <c r="G462" i="3"/>
  <c r="BT461" i="3"/>
  <c r="BR461" i="3"/>
  <c r="BP461" i="3"/>
  <c r="BN461" i="3"/>
  <c r="BL461" i="3"/>
  <c r="BA461" i="3"/>
  <c r="AZ461" i="3"/>
  <c r="AX461" i="3"/>
  <c r="AW461" i="3"/>
  <c r="AV461" i="3"/>
  <c r="AC461" i="3"/>
  <c r="H461" i="3"/>
  <c r="G461" i="3"/>
  <c r="BT460" i="3"/>
  <c r="BR460" i="3"/>
  <c r="BP460" i="3"/>
  <c r="BN460" i="3"/>
  <c r="BL460" i="3"/>
  <c r="AX460" i="3"/>
  <c r="AW460" i="3"/>
  <c r="AV460" i="3"/>
  <c r="AC460" i="3"/>
  <c r="H460" i="3"/>
  <c r="G460" i="3"/>
  <c r="BT459" i="3"/>
  <c r="BR459" i="3"/>
  <c r="BP459" i="3"/>
  <c r="BN459" i="3"/>
  <c r="BL459" i="3"/>
  <c r="AX459" i="3"/>
  <c r="AW459" i="3"/>
  <c r="AV459" i="3"/>
  <c r="AC459" i="3"/>
  <c r="H459" i="3"/>
  <c r="G459" i="3"/>
  <c r="BT458" i="3"/>
  <c r="BR458" i="3"/>
  <c r="BP458" i="3"/>
  <c r="BN458" i="3"/>
  <c r="BL458" i="3"/>
  <c r="BA458" i="3"/>
  <c r="AX458" i="3"/>
  <c r="AW458" i="3"/>
  <c r="AV458" i="3"/>
  <c r="AC458" i="3"/>
  <c r="H458" i="3"/>
  <c r="G458" i="3"/>
  <c r="BT457" i="3"/>
  <c r="BR457" i="3"/>
  <c r="BP457" i="3"/>
  <c r="BN457" i="3"/>
  <c r="BL457" i="3"/>
  <c r="BA457" i="3"/>
  <c r="AX457" i="3"/>
  <c r="AW457" i="3"/>
  <c r="AV457" i="3"/>
  <c r="AC457" i="3"/>
  <c r="H457" i="3"/>
  <c r="G457" i="3"/>
  <c r="BT456" i="3"/>
  <c r="BR456" i="3"/>
  <c r="BP456" i="3"/>
  <c r="BN456" i="3"/>
  <c r="BL456" i="3"/>
  <c r="BA456" i="3"/>
  <c r="AX456" i="3"/>
  <c r="AW456" i="3"/>
  <c r="AV456" i="3"/>
  <c r="AC456" i="3"/>
  <c r="H456" i="3"/>
  <c r="G456" i="3"/>
  <c r="BT455" i="3"/>
  <c r="BR455" i="3"/>
  <c r="BP455" i="3"/>
  <c r="BN455" i="3"/>
  <c r="BL455" i="3"/>
  <c r="BA455" i="3"/>
  <c r="AX455" i="3"/>
  <c r="AW455" i="3"/>
  <c r="AV455" i="3"/>
  <c r="AC455" i="3"/>
  <c r="H455" i="3"/>
  <c r="G455" i="3"/>
  <c r="BT454" i="3"/>
  <c r="BR454" i="3"/>
  <c r="BP454" i="3"/>
  <c r="BN454" i="3"/>
  <c r="BL454" i="3"/>
  <c r="BA454" i="3"/>
  <c r="AZ454" i="3"/>
  <c r="AX454" i="3"/>
  <c r="AW454" i="3"/>
  <c r="AV454" i="3"/>
  <c r="AC454" i="3"/>
  <c r="H454" i="3"/>
  <c r="BT453" i="3"/>
  <c r="BR453" i="3"/>
  <c r="BP453" i="3"/>
  <c r="BN453" i="3"/>
  <c r="BL453" i="3"/>
  <c r="BA453" i="3"/>
  <c r="AZ453" i="3"/>
  <c r="AX453" i="3"/>
  <c r="AW453" i="3"/>
  <c r="AV453" i="3"/>
  <c r="AC453" i="3"/>
  <c r="H453" i="3"/>
  <c r="G453" i="3"/>
  <c r="BT452" i="3"/>
  <c r="BR452" i="3"/>
  <c r="BP452" i="3"/>
  <c r="BN452" i="3"/>
  <c r="BL452" i="3"/>
  <c r="BA452" i="3"/>
  <c r="AX452" i="3"/>
  <c r="AW452" i="3"/>
  <c r="AV452" i="3"/>
  <c r="AC452" i="3"/>
  <c r="H452" i="3"/>
  <c r="G452" i="3"/>
  <c r="BT451" i="3"/>
  <c r="BR451" i="3"/>
  <c r="BP451" i="3"/>
  <c r="BN451" i="3"/>
  <c r="BL451" i="3"/>
  <c r="BA451" i="3"/>
  <c r="AX451" i="3"/>
  <c r="AW451" i="3"/>
  <c r="AV451" i="3"/>
  <c r="AC451" i="3"/>
  <c r="H451" i="3"/>
  <c r="G451" i="3"/>
  <c r="BT450" i="3"/>
  <c r="BR450" i="3"/>
  <c r="BP450" i="3"/>
  <c r="BN450" i="3"/>
  <c r="BL450" i="3"/>
  <c r="BA450" i="3"/>
  <c r="AZ450" i="3"/>
  <c r="AX450" i="3"/>
  <c r="AW450" i="3"/>
  <c r="AV450" i="3"/>
  <c r="AC450" i="3"/>
  <c r="H450" i="3"/>
  <c r="BT449" i="3"/>
  <c r="BR449" i="3"/>
  <c r="BP449" i="3"/>
  <c r="BN449" i="3"/>
  <c r="BL449" i="3"/>
  <c r="BA449" i="3"/>
  <c r="AZ449" i="3"/>
  <c r="AX449" i="3"/>
  <c r="AW449" i="3"/>
  <c r="AV449" i="3"/>
  <c r="AC449" i="3"/>
  <c r="H449" i="3"/>
  <c r="G449" i="3"/>
  <c r="BT448" i="3"/>
  <c r="BR448" i="3"/>
  <c r="BP448" i="3"/>
  <c r="BN448" i="3"/>
  <c r="BL448" i="3"/>
  <c r="BA448" i="3"/>
  <c r="AX448" i="3"/>
  <c r="AW448" i="3"/>
  <c r="AV448" i="3"/>
  <c r="AC448" i="3"/>
  <c r="H448" i="3"/>
  <c r="G448" i="3"/>
  <c r="BT447" i="3"/>
  <c r="BR447" i="3"/>
  <c r="BP447" i="3"/>
  <c r="BN447" i="3"/>
  <c r="BL447" i="3"/>
  <c r="BA447" i="3"/>
  <c r="AX447" i="3"/>
  <c r="AW447" i="3"/>
  <c r="AV447" i="3"/>
  <c r="AC447" i="3"/>
  <c r="H447" i="3"/>
  <c r="G447" i="3"/>
  <c r="BT446" i="3"/>
  <c r="BR446" i="3"/>
  <c r="BP446" i="3"/>
  <c r="BN446" i="3"/>
  <c r="BL446" i="3"/>
  <c r="BA446" i="3"/>
  <c r="AZ446" i="3"/>
  <c r="AX446" i="3"/>
  <c r="AW446" i="3"/>
  <c r="AV446" i="3"/>
  <c r="AC446" i="3"/>
  <c r="H446" i="3"/>
  <c r="BT445" i="3"/>
  <c r="BR445" i="3"/>
  <c r="BP445" i="3"/>
  <c r="BN445" i="3"/>
  <c r="BL445" i="3"/>
  <c r="BA445" i="3"/>
  <c r="AZ445" i="3"/>
  <c r="AX445" i="3"/>
  <c r="AW445" i="3"/>
  <c r="AV445" i="3"/>
  <c r="AC445" i="3"/>
  <c r="H445" i="3"/>
  <c r="G445" i="3"/>
  <c r="BT444" i="3"/>
  <c r="BR444" i="3"/>
  <c r="BP444" i="3"/>
  <c r="BN444" i="3"/>
  <c r="BA444" i="3"/>
  <c r="AX444" i="3"/>
  <c r="AW444" i="3"/>
  <c r="AV444" i="3"/>
  <c r="AC444" i="3"/>
  <c r="H444" i="3"/>
  <c r="G444" i="3"/>
  <c r="BT443" i="3"/>
  <c r="BR443" i="3"/>
  <c r="BP443" i="3"/>
  <c r="BN443" i="3"/>
  <c r="BL443" i="3"/>
  <c r="BA443" i="3"/>
  <c r="AX443" i="3"/>
  <c r="AW443" i="3"/>
  <c r="AV443" i="3"/>
  <c r="AC443" i="3"/>
  <c r="H443" i="3"/>
  <c r="G443" i="3"/>
  <c r="BT442" i="3"/>
  <c r="BR442" i="3"/>
  <c r="BP442" i="3"/>
  <c r="BN442" i="3"/>
  <c r="BL442" i="3"/>
  <c r="BA442" i="3"/>
  <c r="AZ442" i="3"/>
  <c r="AX442" i="3"/>
  <c r="AW442" i="3"/>
  <c r="AV442" i="3"/>
  <c r="AC442" i="3"/>
  <c r="H442" i="3"/>
  <c r="BT441" i="3"/>
  <c r="BR441" i="3"/>
  <c r="BP441" i="3"/>
  <c r="BN441" i="3"/>
  <c r="BL441" i="3"/>
  <c r="BA441" i="3"/>
  <c r="AX441" i="3"/>
  <c r="AW441" i="3"/>
  <c r="AV441" i="3"/>
  <c r="AC441" i="3"/>
  <c r="H441" i="3"/>
  <c r="G441" i="3"/>
  <c r="BT440" i="3"/>
  <c r="BR440" i="3"/>
  <c r="BP440" i="3"/>
  <c r="BN440" i="3"/>
  <c r="BL440" i="3"/>
  <c r="BA440" i="3"/>
  <c r="AZ440" i="3"/>
  <c r="AX440" i="3"/>
  <c r="AW440" i="3"/>
  <c r="AV440" i="3"/>
  <c r="AC440" i="3"/>
  <c r="H440" i="3"/>
  <c r="G440" i="3"/>
  <c r="BT439" i="3"/>
  <c r="BR439" i="3"/>
  <c r="BP439" i="3"/>
  <c r="BN439" i="3"/>
  <c r="BL439" i="3"/>
  <c r="BA439" i="3"/>
  <c r="AZ439" i="3"/>
  <c r="AX439" i="3"/>
  <c r="AW439" i="3"/>
  <c r="AV439" i="3"/>
  <c r="AC439" i="3"/>
  <c r="H439" i="3"/>
  <c r="G439" i="3"/>
  <c r="BT438" i="3"/>
  <c r="BR438" i="3"/>
  <c r="BP438" i="3"/>
  <c r="BN438" i="3"/>
  <c r="BL438" i="3"/>
  <c r="BA438" i="3"/>
  <c r="AZ438" i="3"/>
  <c r="AX438" i="3"/>
  <c r="AW438" i="3"/>
  <c r="AV438" i="3"/>
  <c r="AC438" i="3"/>
  <c r="H438" i="3"/>
  <c r="G438" i="3"/>
  <c r="BT437" i="3"/>
  <c r="BR437" i="3"/>
  <c r="BP437" i="3"/>
  <c r="BN437" i="3"/>
  <c r="BL437" i="3"/>
  <c r="BA437" i="3"/>
  <c r="AX437" i="3"/>
  <c r="AW437" i="3"/>
  <c r="AV437" i="3"/>
  <c r="AC437" i="3"/>
  <c r="H437" i="3"/>
  <c r="G437" i="3"/>
  <c r="BT436" i="3"/>
  <c r="BR436" i="3"/>
  <c r="BP436" i="3"/>
  <c r="BN436" i="3"/>
  <c r="BL436" i="3"/>
  <c r="BA436" i="3"/>
  <c r="AZ436" i="3"/>
  <c r="AX436" i="3"/>
  <c r="AW436" i="3"/>
  <c r="AV436" i="3"/>
  <c r="AC436" i="3"/>
  <c r="H436" i="3"/>
  <c r="BT435" i="3"/>
  <c r="BR435" i="3"/>
  <c r="BP435" i="3"/>
  <c r="BN435" i="3"/>
  <c r="BL435" i="3"/>
  <c r="BA435" i="3"/>
  <c r="AZ435" i="3"/>
  <c r="AX435" i="3"/>
  <c r="AW435" i="3"/>
  <c r="AV435" i="3"/>
  <c r="AC435" i="3"/>
  <c r="H435" i="3"/>
  <c r="G435" i="3"/>
  <c r="BT434" i="3"/>
  <c r="BR434" i="3"/>
  <c r="BP434" i="3"/>
  <c r="BN434" i="3"/>
  <c r="BA434" i="3"/>
  <c r="AX434" i="3"/>
  <c r="AW434" i="3"/>
  <c r="AV434" i="3"/>
  <c r="AC434" i="3"/>
  <c r="H434" i="3"/>
  <c r="G434" i="3"/>
  <c r="BT433" i="3"/>
  <c r="BR433" i="3"/>
  <c r="BP433" i="3"/>
  <c r="BN433" i="3"/>
  <c r="BL433" i="3"/>
  <c r="BA433" i="3"/>
  <c r="AX433" i="3"/>
  <c r="AW433" i="3"/>
  <c r="AV433" i="3"/>
  <c r="AC433" i="3"/>
  <c r="H433" i="3"/>
  <c r="BT432" i="3"/>
  <c r="BR432" i="3"/>
  <c r="BP432" i="3"/>
  <c r="BN432" i="3"/>
  <c r="BL432" i="3"/>
  <c r="BA432" i="3"/>
  <c r="AZ432" i="3"/>
  <c r="AX432" i="3"/>
  <c r="AW432" i="3"/>
  <c r="AV432" i="3"/>
  <c r="AC432" i="3"/>
  <c r="H432" i="3"/>
  <c r="G432" i="3"/>
  <c r="BT431" i="3"/>
  <c r="BR431" i="3"/>
  <c r="BP431" i="3"/>
  <c r="BN431" i="3"/>
  <c r="BL431" i="3"/>
  <c r="BA431" i="3"/>
  <c r="AX431" i="3"/>
  <c r="AW431" i="3"/>
  <c r="AV431" i="3"/>
  <c r="AC431" i="3"/>
  <c r="H431" i="3"/>
  <c r="G431" i="3"/>
  <c r="BT430" i="3"/>
  <c r="BR430" i="3"/>
  <c r="BP430" i="3"/>
  <c r="BN430" i="3"/>
  <c r="BL430" i="3"/>
  <c r="BA430" i="3"/>
  <c r="AX430" i="3"/>
  <c r="AW430" i="3"/>
  <c r="AV430" i="3"/>
  <c r="AC430" i="3"/>
  <c r="H430" i="3"/>
  <c r="G430" i="3"/>
  <c r="BT429" i="3"/>
  <c r="BR429" i="3"/>
  <c r="BP429" i="3"/>
  <c r="BN429" i="3"/>
  <c r="BL429" i="3"/>
  <c r="BA429" i="3"/>
  <c r="AZ429" i="3"/>
  <c r="AX429" i="3"/>
  <c r="AW429" i="3"/>
  <c r="AV429" i="3"/>
  <c r="AC429" i="3"/>
  <c r="H429" i="3"/>
  <c r="BT428" i="3"/>
  <c r="BR428" i="3"/>
  <c r="BP428" i="3"/>
  <c r="BN428" i="3"/>
  <c r="BL428" i="3"/>
  <c r="BA428" i="3"/>
  <c r="AX428" i="3"/>
  <c r="AW428" i="3"/>
  <c r="AV428" i="3"/>
  <c r="AC428" i="3"/>
  <c r="H428" i="3"/>
  <c r="G428" i="3"/>
  <c r="BT427" i="3"/>
  <c r="BR427" i="3"/>
  <c r="BP427" i="3"/>
  <c r="BN427" i="3"/>
  <c r="BL427" i="3"/>
  <c r="BA427" i="3"/>
  <c r="AZ427" i="3"/>
  <c r="AX427" i="3"/>
  <c r="AW427" i="3"/>
  <c r="AV427" i="3"/>
  <c r="AC427" i="3"/>
  <c r="H427" i="3"/>
  <c r="G427" i="3"/>
  <c r="BT426" i="3"/>
  <c r="BR426" i="3"/>
  <c r="BP426" i="3"/>
  <c r="BN426" i="3"/>
  <c r="BL426" i="3"/>
  <c r="BA426" i="3"/>
  <c r="AZ426" i="3"/>
  <c r="AX426" i="3"/>
  <c r="AW426" i="3"/>
  <c r="AV426" i="3"/>
  <c r="AC426" i="3"/>
  <c r="H426" i="3"/>
  <c r="G426" i="3"/>
  <c r="BT425" i="3"/>
  <c r="BR425" i="3"/>
  <c r="BP425" i="3"/>
  <c r="BN425" i="3"/>
  <c r="BL425" i="3"/>
  <c r="AX425" i="3"/>
  <c r="AW425" i="3"/>
  <c r="AV425" i="3"/>
  <c r="AC425" i="3"/>
  <c r="H425" i="3"/>
  <c r="G425" i="3"/>
  <c r="BT424" i="3"/>
  <c r="BR424" i="3"/>
  <c r="BP424" i="3"/>
  <c r="BN424" i="3"/>
  <c r="BL424" i="3"/>
  <c r="BA424" i="3"/>
  <c r="AZ424" i="3"/>
  <c r="AX424" i="3"/>
  <c r="AW424" i="3"/>
  <c r="AV424" i="3"/>
  <c r="AC424" i="3"/>
  <c r="H424" i="3"/>
  <c r="G424" i="3"/>
  <c r="BT423" i="3"/>
  <c r="BR423" i="3"/>
  <c r="BP423" i="3"/>
  <c r="BN423" i="3"/>
  <c r="BL423" i="3"/>
  <c r="BA423" i="3"/>
  <c r="AX423" i="3"/>
  <c r="AW423" i="3"/>
  <c r="AV423" i="3"/>
  <c r="AC423" i="3"/>
  <c r="H423" i="3"/>
  <c r="G423" i="3"/>
  <c r="BT422" i="3"/>
  <c r="BR422" i="3"/>
  <c r="BP422" i="3"/>
  <c r="BN422" i="3"/>
  <c r="BL422" i="3"/>
  <c r="BA422" i="3"/>
  <c r="AZ422" i="3"/>
  <c r="AX422" i="3"/>
  <c r="AW422" i="3"/>
  <c r="AV422" i="3"/>
  <c r="AC422" i="3"/>
  <c r="H422" i="3"/>
  <c r="BT421" i="3"/>
  <c r="BR421" i="3"/>
  <c r="BP421" i="3"/>
  <c r="BN421" i="3"/>
  <c r="BL421" i="3"/>
  <c r="BA421" i="3"/>
  <c r="AZ421" i="3"/>
  <c r="AX421" i="3"/>
  <c r="AW421" i="3"/>
  <c r="AV421" i="3"/>
  <c r="AC421" i="3"/>
  <c r="H421" i="3"/>
  <c r="G421" i="3"/>
  <c r="BT420" i="3"/>
  <c r="BR420" i="3"/>
  <c r="BP420" i="3"/>
  <c r="BN420" i="3"/>
  <c r="BL420" i="3"/>
  <c r="AX420" i="3"/>
  <c r="AW420" i="3"/>
  <c r="AV420" i="3"/>
  <c r="AC420" i="3"/>
  <c r="H420" i="3"/>
  <c r="G420" i="3"/>
  <c r="BT419" i="3"/>
  <c r="BR419" i="3"/>
  <c r="BP419" i="3"/>
  <c r="BN419" i="3"/>
  <c r="BL419" i="3"/>
  <c r="AX419" i="3"/>
  <c r="AW419" i="3"/>
  <c r="AV419" i="3"/>
  <c r="AC419" i="3"/>
  <c r="H419" i="3"/>
  <c r="G419" i="3"/>
  <c r="BT418" i="3"/>
  <c r="BR418" i="3"/>
  <c r="BP418" i="3"/>
  <c r="BN418" i="3"/>
  <c r="BL418" i="3"/>
  <c r="BA418" i="3"/>
  <c r="AX418" i="3"/>
  <c r="AW418" i="3"/>
  <c r="AV418" i="3"/>
  <c r="AC418" i="3"/>
  <c r="H418" i="3"/>
  <c r="BT417" i="3"/>
  <c r="BR417" i="3"/>
  <c r="BP417" i="3"/>
  <c r="BN417" i="3"/>
  <c r="BL417" i="3"/>
  <c r="BA417" i="3"/>
  <c r="AX417" i="3"/>
  <c r="AW417" i="3"/>
  <c r="AV417" i="3"/>
  <c r="AC417" i="3"/>
  <c r="H417" i="3"/>
  <c r="G417" i="3"/>
  <c r="BT416" i="3"/>
  <c r="BR416" i="3"/>
  <c r="BP416" i="3"/>
  <c r="BN416" i="3"/>
  <c r="BA416" i="3"/>
  <c r="AX416" i="3"/>
  <c r="AW416" i="3"/>
  <c r="AV416" i="3"/>
  <c r="AC416" i="3"/>
  <c r="H416" i="3"/>
  <c r="G416" i="3"/>
  <c r="BT415" i="3"/>
  <c r="BR415" i="3"/>
  <c r="BP415" i="3"/>
  <c r="BN415" i="3"/>
  <c r="BL415" i="3"/>
  <c r="BA415" i="3"/>
  <c r="AZ415" i="3"/>
  <c r="AX415" i="3"/>
  <c r="AW415" i="3"/>
  <c r="AV415" i="3"/>
  <c r="AC415" i="3"/>
  <c r="H415" i="3"/>
  <c r="BT414" i="3"/>
  <c r="BR414" i="3"/>
  <c r="BP414" i="3"/>
  <c r="BN414" i="3"/>
  <c r="BL414" i="3"/>
  <c r="BA414" i="3"/>
  <c r="AZ414" i="3"/>
  <c r="AX414" i="3"/>
  <c r="AW414" i="3"/>
  <c r="AV414" i="3"/>
  <c r="AC414" i="3"/>
  <c r="H414" i="3"/>
  <c r="BT413" i="3"/>
  <c r="BR413" i="3"/>
  <c r="BP413" i="3"/>
  <c r="BN413" i="3"/>
  <c r="BA413" i="3"/>
  <c r="AX413" i="3"/>
  <c r="AW413" i="3"/>
  <c r="AV413" i="3"/>
  <c r="AC413" i="3"/>
  <c r="H413" i="3"/>
  <c r="G413" i="3"/>
  <c r="BT412" i="3"/>
  <c r="BR412" i="3"/>
  <c r="BP412" i="3"/>
  <c r="BN412" i="3"/>
  <c r="BA412" i="3"/>
  <c r="AX412" i="3"/>
  <c r="AW412" i="3"/>
  <c r="AV412" i="3"/>
  <c r="AC412" i="3"/>
  <c r="H412" i="3"/>
  <c r="BT411" i="3"/>
  <c r="BR411" i="3"/>
  <c r="BP411" i="3"/>
  <c r="BN411" i="3"/>
  <c r="BL411" i="3"/>
  <c r="AX411" i="3"/>
  <c r="AW411" i="3"/>
  <c r="AV411" i="3"/>
  <c r="AC411" i="3"/>
  <c r="H411" i="3"/>
  <c r="G411" i="3"/>
  <c r="BT410" i="3"/>
  <c r="BR410" i="3"/>
  <c r="BP410" i="3"/>
  <c r="BN410" i="3"/>
  <c r="AX410" i="3"/>
  <c r="AW410" i="3"/>
  <c r="AV410" i="3"/>
  <c r="AC410" i="3"/>
  <c r="H410" i="3"/>
  <c r="G410" i="3"/>
  <c r="BT409" i="3"/>
  <c r="BR409" i="3"/>
  <c r="BP409" i="3"/>
  <c r="BN409" i="3"/>
  <c r="BL409" i="3"/>
  <c r="BA409" i="3"/>
  <c r="AZ409" i="3"/>
  <c r="AX409" i="3"/>
  <c r="AW409" i="3"/>
  <c r="AV409" i="3"/>
  <c r="AC409" i="3"/>
  <c r="H409" i="3"/>
  <c r="G409" i="3"/>
  <c r="BT408" i="3"/>
  <c r="BR408" i="3"/>
  <c r="BP408" i="3"/>
  <c r="BN408" i="3"/>
  <c r="BL408" i="3"/>
  <c r="BA408" i="3"/>
  <c r="AX408" i="3"/>
  <c r="AW408" i="3"/>
  <c r="AV408" i="3"/>
  <c r="AC408" i="3"/>
  <c r="H408" i="3"/>
  <c r="BT407" i="3"/>
  <c r="BR407" i="3"/>
  <c r="BP407" i="3"/>
  <c r="BN407" i="3"/>
  <c r="BA407" i="3"/>
  <c r="AX407" i="3"/>
  <c r="AW407" i="3"/>
  <c r="AV407" i="3"/>
  <c r="AC407" i="3"/>
  <c r="H407" i="3"/>
  <c r="G407" i="3"/>
  <c r="BT406" i="3"/>
  <c r="BR406" i="3"/>
  <c r="BP406" i="3"/>
  <c r="BN406" i="3"/>
  <c r="BA406" i="3"/>
  <c r="AX406" i="3"/>
  <c r="AW406" i="3"/>
  <c r="AV406" i="3"/>
  <c r="AC406" i="3"/>
  <c r="H406" i="3"/>
  <c r="G406" i="3"/>
  <c r="BT405" i="3"/>
  <c r="BR405" i="3"/>
  <c r="BP405" i="3"/>
  <c r="BN405" i="3"/>
  <c r="BL405" i="3"/>
  <c r="BA405" i="3"/>
  <c r="AZ405" i="3"/>
  <c r="AX405" i="3"/>
  <c r="AW405" i="3"/>
  <c r="AV405" i="3"/>
  <c r="AC405" i="3"/>
  <c r="H405" i="3"/>
  <c r="G405" i="3"/>
  <c r="BT404" i="3"/>
  <c r="BR404" i="3"/>
  <c r="BP404" i="3"/>
  <c r="BN404" i="3"/>
  <c r="BL404" i="3"/>
  <c r="AX404" i="3"/>
  <c r="AW404" i="3"/>
  <c r="AV404" i="3"/>
  <c r="AC404" i="3"/>
  <c r="H404" i="3"/>
  <c r="G404" i="3"/>
  <c r="BT403" i="3"/>
  <c r="BR403" i="3"/>
  <c r="BP403" i="3"/>
  <c r="BN403" i="3"/>
  <c r="BL403" i="3"/>
  <c r="AX403" i="3"/>
  <c r="AW403" i="3"/>
  <c r="AV403" i="3"/>
  <c r="AC403" i="3"/>
  <c r="H403" i="3"/>
  <c r="G403" i="3"/>
  <c r="BT402" i="3"/>
  <c r="BR402" i="3"/>
  <c r="BP402" i="3"/>
  <c r="BN402" i="3"/>
  <c r="BA402" i="3"/>
  <c r="AX402" i="3"/>
  <c r="AW402" i="3"/>
  <c r="AV402" i="3"/>
  <c r="AC402" i="3"/>
  <c r="H402" i="3"/>
  <c r="G402" i="3"/>
  <c r="BT401" i="3"/>
  <c r="BR401" i="3"/>
  <c r="BP401" i="3"/>
  <c r="BN401" i="3"/>
  <c r="BL401" i="3"/>
  <c r="BA401" i="3"/>
  <c r="AX401" i="3"/>
  <c r="AW401" i="3"/>
  <c r="AV401" i="3"/>
  <c r="AC401" i="3"/>
  <c r="H401" i="3"/>
  <c r="BT400" i="3"/>
  <c r="BR400" i="3"/>
  <c r="BP400" i="3"/>
  <c r="BN400" i="3"/>
  <c r="BA400" i="3"/>
  <c r="AX400" i="3"/>
  <c r="AW400" i="3"/>
  <c r="AV400" i="3"/>
  <c r="AC400" i="3"/>
  <c r="H400" i="3"/>
  <c r="G400" i="3"/>
  <c r="BT399" i="3"/>
  <c r="BR399" i="3"/>
  <c r="BP399" i="3"/>
  <c r="BN399" i="3"/>
  <c r="BA399" i="3"/>
  <c r="AX399" i="3"/>
  <c r="AW399" i="3"/>
  <c r="AV399" i="3"/>
  <c r="AC399" i="3"/>
  <c r="H399" i="3"/>
  <c r="G399" i="3"/>
  <c r="BT398" i="3"/>
  <c r="BR398" i="3"/>
  <c r="BP398" i="3"/>
  <c r="BN398" i="3"/>
  <c r="BL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H113"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N13" i="3"/>
  <c r="BP13" i="3"/>
  <c r="BR13" i="3"/>
  <c r="BT13" i="3"/>
  <c r="BL13" i="3"/>
  <c r="A10" i="52"/>
  <c r="B55" i="72"/>
  <c r="K4" i="9"/>
  <c r="L22" i="4"/>
  <c r="L20" i="4"/>
  <c r="A5" i="62"/>
  <c r="B72" i="72"/>
  <c r="A4" i="62"/>
  <c r="B70" i="72"/>
  <c r="F33" i="9"/>
  <c r="B13" i="53"/>
  <c r="B29" i="72"/>
  <c r="R35" i="4"/>
  <c r="Q35" i="4"/>
  <c r="P35" i="4"/>
  <c r="O35" i="4"/>
  <c r="N35" i="4"/>
  <c r="M35" i="4"/>
  <c r="L35" i="4"/>
  <c r="K34" i="4"/>
  <c r="T34" i="4"/>
  <c r="I15" i="4"/>
  <c r="H15" i="4"/>
  <c r="G15" i="4"/>
  <c r="D15" i="4"/>
  <c r="F7" i="1"/>
  <c r="G7" i="1"/>
  <c r="L21" i="4"/>
  <c r="F19" i="4"/>
  <c r="F2" i="52"/>
  <c r="B50" i="72"/>
  <c r="D2" i="52"/>
  <c r="B46" i="72"/>
  <c r="B8" i="53"/>
  <c r="B23" i="72"/>
  <c r="L4" i="9"/>
  <c r="A24" i="51"/>
  <c r="B18" i="72"/>
  <c r="B17" i="72"/>
  <c r="A3" i="51"/>
  <c r="C8" i="11"/>
  <c r="B2" i="49"/>
  <c r="E14" i="49"/>
  <c r="B40" i="48"/>
  <c r="B3" i="72"/>
  <c r="I2" i="43"/>
  <c r="M3" i="43"/>
  <c r="N1" i="43"/>
  <c r="F35" i="4"/>
  <c r="J55" i="39"/>
  <c r="H34" i="43"/>
  <c r="H35" i="43"/>
  <c r="H36" i="43"/>
  <c r="H37" i="43"/>
  <c r="H38" i="43"/>
  <c r="H39" i="43"/>
  <c r="H33" i="43"/>
  <c r="J20" i="43"/>
  <c r="C18" i="43"/>
  <c r="F15" i="43"/>
  <c r="C15" i="43"/>
  <c r="D15" i="43"/>
  <c r="E15" i="43"/>
  <c r="C12" i="43"/>
  <c r="C10" i="43"/>
  <c r="C11" i="43"/>
  <c r="E10" i="43"/>
  <c r="C9" i="43"/>
  <c r="A7" i="43"/>
  <c r="F33" i="15"/>
  <c r="F61" i="15"/>
  <c r="M19" i="15"/>
  <c r="M10" i="1"/>
  <c r="O10" i="1"/>
  <c r="B22" i="1"/>
  <c r="E1" i="73"/>
  <c r="B23" i="1"/>
  <c r="B24" i="1"/>
  <c r="F34" i="11"/>
  <c r="B43" i="1"/>
  <c r="D78" i="9"/>
  <c r="BR14" i="3"/>
  <c r="BR15" i="3"/>
  <c r="BR16" i="3"/>
  <c r="BR17" i="3"/>
  <c r="BT14" i="3"/>
  <c r="BT15" i="3"/>
  <c r="BT16" i="3"/>
  <c r="BT17" i="3"/>
  <c r="BN15" i="3"/>
  <c r="BP15" i="3"/>
  <c r="BL15" i="3"/>
  <c r="BN14" i="3"/>
  <c r="BN16" i="3"/>
  <c r="BN17" i="3"/>
  <c r="BP14" i="3"/>
  <c r="BP16" i="3"/>
  <c r="BP17" i="3"/>
  <c r="E19" i="6"/>
  <c r="E20" i="6"/>
  <c r="E21" i="6"/>
  <c r="K8" i="1"/>
  <c r="M8" i="1"/>
  <c r="O8" i="1"/>
  <c r="P8" i="1"/>
  <c r="F23" i="15"/>
  <c r="D24" i="15"/>
  <c r="M13" i="1"/>
  <c r="O13" i="1"/>
  <c r="E22" i="6"/>
  <c r="E23" i="6"/>
  <c r="E24" i="6"/>
  <c r="E25" i="6"/>
  <c r="E26" i="6"/>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C94" i="9"/>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N493" i="3"/>
  <c r="BP493" i="3"/>
  <c r="BR493" i="3"/>
  <c r="BT493" i="3"/>
  <c r="H494" i="3"/>
  <c r="AC494" i="3"/>
  <c r="BN494" i="3"/>
  <c r="BP494" i="3"/>
  <c r="BR494" i="3"/>
  <c r="BT494" i="3"/>
  <c r="H495" i="3"/>
  <c r="AC495" i="3"/>
  <c r="BN495" i="3"/>
  <c r="BP495" i="3"/>
  <c r="BR495" i="3"/>
  <c r="BT495" i="3"/>
  <c r="H496" i="3"/>
  <c r="AC496" i="3"/>
  <c r="BN496" i="3"/>
  <c r="BP496" i="3"/>
  <c r="BR496" i="3"/>
  <c r="BT496" i="3"/>
  <c r="H497" i="3"/>
  <c r="AC497" i="3"/>
  <c r="G497" i="3"/>
  <c r="BN497" i="3"/>
  <c r="BP497" i="3"/>
  <c r="BR497" i="3"/>
  <c r="BT497" i="3"/>
  <c r="H498" i="3"/>
  <c r="AC498" i="3"/>
  <c r="BN498" i="3"/>
  <c r="BP498" i="3"/>
  <c r="BR498" i="3"/>
  <c r="BT498" i="3"/>
  <c r="H499" i="3"/>
  <c r="AC499" i="3"/>
  <c r="BN499" i="3"/>
  <c r="BP499" i="3"/>
  <c r="BR499" i="3"/>
  <c r="BT499" i="3"/>
  <c r="H500" i="3"/>
  <c r="AC500" i="3"/>
  <c r="BN500" i="3"/>
  <c r="BP500" i="3"/>
  <c r="BR500" i="3"/>
  <c r="BT500" i="3"/>
  <c r="H501" i="3"/>
  <c r="AC501" i="3"/>
  <c r="BN501" i="3"/>
  <c r="BP501" i="3"/>
  <c r="BR501" i="3"/>
  <c r="BT501" i="3"/>
  <c r="H502" i="3"/>
  <c r="AC502" i="3"/>
  <c r="BN502" i="3"/>
  <c r="BP502" i="3"/>
  <c r="BR502" i="3"/>
  <c r="BT502" i="3"/>
  <c r="H503" i="3"/>
  <c r="AC503" i="3"/>
  <c r="BN503" i="3"/>
  <c r="BP503" i="3"/>
  <c r="BR503" i="3"/>
  <c r="BT503" i="3"/>
  <c r="H504" i="3"/>
  <c r="AC504" i="3"/>
  <c r="G504" i="3"/>
  <c r="BN504" i="3"/>
  <c r="BP504" i="3"/>
  <c r="BR504" i="3"/>
  <c r="BT504" i="3"/>
  <c r="H505" i="3"/>
  <c r="AC505" i="3"/>
  <c r="G505" i="3"/>
  <c r="BN505" i="3"/>
  <c r="BP505" i="3"/>
  <c r="BR505" i="3"/>
  <c r="BT505" i="3"/>
  <c r="H506" i="3"/>
  <c r="AC506" i="3"/>
  <c r="BN506" i="3"/>
  <c r="BP506" i="3"/>
  <c r="BR506" i="3"/>
  <c r="BT506" i="3"/>
  <c r="H507" i="3"/>
  <c r="AC507" i="3"/>
  <c r="BN507" i="3"/>
  <c r="BP507" i="3"/>
  <c r="BR507" i="3"/>
  <c r="BT507" i="3"/>
  <c r="H508" i="3"/>
  <c r="AC508" i="3"/>
  <c r="BN508" i="3"/>
  <c r="BP508" i="3"/>
  <c r="BR508" i="3"/>
  <c r="BT508" i="3"/>
  <c r="H509" i="3"/>
  <c r="BN509" i="3"/>
  <c r="BP509" i="3"/>
  <c r="BR509" i="3"/>
  <c r="BT509" i="3"/>
  <c r="H510" i="3"/>
  <c r="AC510" i="3"/>
  <c r="BN510" i="3"/>
  <c r="BP510" i="3"/>
  <c r="BR510" i="3"/>
  <c r="BT510" i="3"/>
  <c r="H511" i="3"/>
  <c r="AC511" i="3"/>
  <c r="BN511" i="3"/>
  <c r="BP511" i="3"/>
  <c r="BR511" i="3"/>
  <c r="BT511" i="3"/>
  <c r="H512" i="3"/>
  <c r="AC512" i="3"/>
  <c r="BN512" i="3"/>
  <c r="BP512" i="3"/>
  <c r="BR512" i="3"/>
  <c r="BT512" i="3"/>
  <c r="H513" i="3"/>
  <c r="AC513" i="3"/>
  <c r="G513" i="3"/>
  <c r="BN513" i="3"/>
  <c r="BP513" i="3"/>
  <c r="BR513" i="3"/>
  <c r="BT513" i="3"/>
  <c r="H514" i="3"/>
  <c r="AC514" i="3"/>
  <c r="BN514" i="3"/>
  <c r="BP514" i="3"/>
  <c r="BR514" i="3"/>
  <c r="BT514" i="3"/>
  <c r="H515" i="3"/>
  <c r="AC515" i="3"/>
  <c r="BN515" i="3"/>
  <c r="BP515" i="3"/>
  <c r="BR515" i="3"/>
  <c r="BT515" i="3"/>
  <c r="H516" i="3"/>
  <c r="AC516" i="3"/>
  <c r="BN516" i="3"/>
  <c r="BP516" i="3"/>
  <c r="BR516" i="3"/>
  <c r="BT516" i="3"/>
  <c r="H517" i="3"/>
  <c r="AC517" i="3"/>
  <c r="BN517" i="3"/>
  <c r="BP517" i="3"/>
  <c r="BR517" i="3"/>
  <c r="BT517" i="3"/>
  <c r="H518" i="3"/>
  <c r="AC518" i="3"/>
  <c r="G518" i="3"/>
  <c r="BN518" i="3"/>
  <c r="BP518" i="3"/>
  <c r="BR518" i="3"/>
  <c r="BT518" i="3"/>
  <c r="H519" i="3"/>
  <c r="AC519" i="3"/>
  <c r="BN519" i="3"/>
  <c r="BP519" i="3"/>
  <c r="BR519" i="3"/>
  <c r="BT519" i="3"/>
  <c r="H520" i="3"/>
  <c r="AC520" i="3"/>
  <c r="BN520" i="3"/>
  <c r="BP520" i="3"/>
  <c r="BR520" i="3"/>
  <c r="BT520" i="3"/>
  <c r="H521" i="3"/>
  <c r="BN521" i="3"/>
  <c r="BP521" i="3"/>
  <c r="BR521" i="3"/>
  <c r="BT521" i="3"/>
  <c r="H522" i="3"/>
  <c r="AC522" i="3"/>
  <c r="BN522" i="3"/>
  <c r="BP522" i="3"/>
  <c r="BR522" i="3"/>
  <c r="BT522" i="3"/>
  <c r="H523" i="3"/>
  <c r="AC523" i="3"/>
  <c r="BN523" i="3"/>
  <c r="BP523" i="3"/>
  <c r="BR523" i="3"/>
  <c r="BT523" i="3"/>
  <c r="H524" i="3"/>
  <c r="AC524" i="3"/>
  <c r="BN524" i="3"/>
  <c r="BP524" i="3"/>
  <c r="BR524" i="3"/>
  <c r="BT524" i="3"/>
  <c r="H525" i="3"/>
  <c r="AC525" i="3"/>
  <c r="G525" i="3"/>
  <c r="BN525" i="3"/>
  <c r="BP525" i="3"/>
  <c r="BR525" i="3"/>
  <c r="BT525" i="3"/>
  <c r="H526" i="3"/>
  <c r="AC526" i="3"/>
  <c r="G526" i="3"/>
  <c r="BN526" i="3"/>
  <c r="BP526" i="3"/>
  <c r="BR526" i="3"/>
  <c r="BT526" i="3"/>
  <c r="H527" i="3"/>
  <c r="AC527" i="3"/>
  <c r="BN527" i="3"/>
  <c r="BP527" i="3"/>
  <c r="BR527" i="3"/>
  <c r="BT527" i="3"/>
  <c r="H528" i="3"/>
  <c r="AC528" i="3"/>
  <c r="BN528" i="3"/>
  <c r="BP528" i="3"/>
  <c r="BR528" i="3"/>
  <c r="BT528" i="3"/>
  <c r="H529" i="3"/>
  <c r="AC529" i="3"/>
  <c r="BN529" i="3"/>
  <c r="BP529" i="3"/>
  <c r="BR529" i="3"/>
  <c r="BT529" i="3"/>
  <c r="H530" i="3"/>
  <c r="AC530" i="3"/>
  <c r="BN530" i="3"/>
  <c r="BP530" i="3"/>
  <c r="BR530" i="3"/>
  <c r="BT530" i="3"/>
  <c r="H531" i="3"/>
  <c r="AC531" i="3"/>
  <c r="BN531" i="3"/>
  <c r="BP531" i="3"/>
  <c r="BR531" i="3"/>
  <c r="BT531" i="3"/>
  <c r="H532" i="3"/>
  <c r="AC532" i="3"/>
  <c r="BN532" i="3"/>
  <c r="BP532" i="3"/>
  <c r="BR532" i="3"/>
  <c r="BT532" i="3"/>
  <c r="H533" i="3"/>
  <c r="AC533" i="3"/>
  <c r="BN533" i="3"/>
  <c r="BP533" i="3"/>
  <c r="BR533" i="3"/>
  <c r="BT533" i="3"/>
  <c r="H534" i="3"/>
  <c r="AC534" i="3"/>
  <c r="BN534" i="3"/>
  <c r="BP534" i="3"/>
  <c r="BR534" i="3"/>
  <c r="BT534" i="3"/>
  <c r="H535" i="3"/>
  <c r="AC535" i="3"/>
  <c r="BN535" i="3"/>
  <c r="BP535" i="3"/>
  <c r="BR535" i="3"/>
  <c r="BT535" i="3"/>
  <c r="H536" i="3"/>
  <c r="AC536" i="3"/>
  <c r="BN536" i="3"/>
  <c r="BP536" i="3"/>
  <c r="BR536" i="3"/>
  <c r="BT536" i="3"/>
  <c r="H537" i="3"/>
  <c r="AC537" i="3"/>
  <c r="G537" i="3"/>
  <c r="BN537" i="3"/>
  <c r="BP537" i="3"/>
  <c r="BR537" i="3"/>
  <c r="BT537" i="3"/>
  <c r="H538" i="3"/>
  <c r="AC538" i="3"/>
  <c r="BN538" i="3"/>
  <c r="BP538" i="3"/>
  <c r="BR538" i="3"/>
  <c r="BT538" i="3"/>
  <c r="H539" i="3"/>
  <c r="AC539" i="3"/>
  <c r="BN539" i="3"/>
  <c r="BP539" i="3"/>
  <c r="BR539" i="3"/>
  <c r="BT539" i="3"/>
  <c r="H540" i="3"/>
  <c r="AC540" i="3"/>
  <c r="BN540" i="3"/>
  <c r="BP540" i="3"/>
  <c r="BR540" i="3"/>
  <c r="BT540" i="3"/>
  <c r="H541" i="3"/>
  <c r="AC541" i="3"/>
  <c r="BN541" i="3"/>
  <c r="BP541" i="3"/>
  <c r="BR541" i="3"/>
  <c r="BT541" i="3"/>
  <c r="H542" i="3"/>
  <c r="AC542" i="3"/>
  <c r="G542" i="3"/>
  <c r="BN542" i="3"/>
  <c r="BP542" i="3"/>
  <c r="BR542" i="3"/>
  <c r="BT542" i="3"/>
  <c r="H543" i="3"/>
  <c r="AC543" i="3"/>
  <c r="BN543" i="3"/>
  <c r="BP543" i="3"/>
  <c r="BR543" i="3"/>
  <c r="BT543" i="3"/>
  <c r="BL543" i="3"/>
  <c r="H544" i="3"/>
  <c r="AC544" i="3"/>
  <c r="BN544" i="3"/>
  <c r="BP544" i="3"/>
  <c r="BR544" i="3"/>
  <c r="BT544" i="3"/>
  <c r="H545" i="3"/>
  <c r="AC545" i="3"/>
  <c r="G545" i="3"/>
  <c r="BA545" i="3"/>
  <c r="BN545" i="3"/>
  <c r="BP545" i="3"/>
  <c r="BR545" i="3"/>
  <c r="BT545" i="3"/>
  <c r="H546" i="3"/>
  <c r="AC546" i="3"/>
  <c r="G546" i="3"/>
  <c r="BN546" i="3"/>
  <c r="BP546" i="3"/>
  <c r="BR546" i="3"/>
  <c r="BT546" i="3"/>
  <c r="H547" i="3"/>
  <c r="AC547" i="3"/>
  <c r="G547" i="3"/>
  <c r="BN547" i="3"/>
  <c r="BP547" i="3"/>
  <c r="BR547" i="3"/>
  <c r="BT547" i="3"/>
  <c r="H548" i="3"/>
  <c r="AC548" i="3"/>
  <c r="BN548" i="3"/>
  <c r="BP548" i="3"/>
  <c r="BR548" i="3"/>
  <c r="BT548" i="3"/>
  <c r="H549" i="3"/>
  <c r="AC549" i="3"/>
  <c r="BN549" i="3"/>
  <c r="BP549" i="3"/>
  <c r="BR549" i="3"/>
  <c r="BT549" i="3"/>
  <c r="H550" i="3"/>
  <c r="AC550" i="3"/>
  <c r="BN550" i="3"/>
  <c r="BP550" i="3"/>
  <c r="BR550" i="3"/>
  <c r="BT550" i="3"/>
  <c r="H551" i="3"/>
  <c r="AC551" i="3"/>
  <c r="G551" i="3"/>
  <c r="BN551" i="3"/>
  <c r="BP551" i="3"/>
  <c r="BR551" i="3"/>
  <c r="BT551" i="3"/>
  <c r="H552" i="3"/>
  <c r="AC552" i="3"/>
  <c r="G552" i="3"/>
  <c r="BN552" i="3"/>
  <c r="BP552" i="3"/>
  <c r="BR552" i="3"/>
  <c r="BT552" i="3"/>
  <c r="H553" i="3"/>
  <c r="AC553" i="3"/>
  <c r="BN553" i="3"/>
  <c r="BP553" i="3"/>
  <c r="BR553" i="3"/>
  <c r="BT553" i="3"/>
  <c r="H554" i="3"/>
  <c r="AC554" i="3"/>
  <c r="BN554" i="3"/>
  <c r="BP554" i="3"/>
  <c r="BR554" i="3"/>
  <c r="BT554" i="3"/>
  <c r="H555" i="3"/>
  <c r="AC555" i="3"/>
  <c r="BN555" i="3"/>
  <c r="BP555" i="3"/>
  <c r="BR555" i="3"/>
  <c r="BT555" i="3"/>
  <c r="H556" i="3"/>
  <c r="AC556" i="3"/>
  <c r="BN556" i="3"/>
  <c r="BP556" i="3"/>
  <c r="BR556" i="3"/>
  <c r="BT556" i="3"/>
  <c r="H557" i="3"/>
  <c r="BN557" i="3"/>
  <c r="BP557" i="3"/>
  <c r="BR557" i="3"/>
  <c r="BT557" i="3"/>
  <c r="H558" i="3"/>
  <c r="AC558" i="3"/>
  <c r="G558" i="3"/>
  <c r="BN558" i="3"/>
  <c r="BP558" i="3"/>
  <c r="BR558" i="3"/>
  <c r="BT558" i="3"/>
  <c r="H559" i="3"/>
  <c r="AC559" i="3"/>
  <c r="BN559" i="3"/>
  <c r="BP559" i="3"/>
  <c r="BR559" i="3"/>
  <c r="BT559" i="3"/>
  <c r="BL559" i="3"/>
  <c r="H560" i="3"/>
  <c r="AC560" i="3"/>
  <c r="G560" i="3"/>
  <c r="BN560" i="3"/>
  <c r="BP560" i="3"/>
  <c r="BR560" i="3"/>
  <c r="BT560" i="3"/>
  <c r="H561" i="3"/>
  <c r="AC561" i="3"/>
  <c r="G561" i="3"/>
  <c r="BN561" i="3"/>
  <c r="BP561" i="3"/>
  <c r="BR561" i="3"/>
  <c r="BT561" i="3"/>
  <c r="H562" i="3"/>
  <c r="AC562" i="3"/>
  <c r="G562" i="3"/>
  <c r="BN562" i="3"/>
  <c r="BP562" i="3"/>
  <c r="BR562" i="3"/>
  <c r="BT562" i="3"/>
  <c r="H563" i="3"/>
  <c r="AC563" i="3"/>
  <c r="BN563" i="3"/>
  <c r="BP563" i="3"/>
  <c r="BR563" i="3"/>
  <c r="BT563" i="3"/>
  <c r="H564" i="3"/>
  <c r="AC564" i="3"/>
  <c r="G564" i="3"/>
  <c r="BN564" i="3"/>
  <c r="BP564" i="3"/>
  <c r="BR564" i="3"/>
  <c r="BT564" i="3"/>
  <c r="H565" i="3"/>
  <c r="AC565" i="3"/>
  <c r="G565" i="3"/>
  <c r="BN565" i="3"/>
  <c r="BP565" i="3"/>
  <c r="BR565" i="3"/>
  <c r="BT565" i="3"/>
  <c r="H566" i="3"/>
  <c r="AC566" i="3"/>
  <c r="G566" i="3"/>
  <c r="BN566" i="3"/>
  <c r="BP566" i="3"/>
  <c r="BR566" i="3"/>
  <c r="BT566" i="3"/>
  <c r="H567" i="3"/>
  <c r="AC567" i="3"/>
  <c r="BN567" i="3"/>
  <c r="BP567" i="3"/>
  <c r="BR567" i="3"/>
  <c r="BT567" i="3"/>
  <c r="H568" i="3"/>
  <c r="AC568" i="3"/>
  <c r="BN568" i="3"/>
  <c r="BP568" i="3"/>
  <c r="BR568" i="3"/>
  <c r="BT568" i="3"/>
  <c r="H569" i="3"/>
  <c r="AC569" i="3"/>
  <c r="BN569" i="3"/>
  <c r="BP569" i="3"/>
  <c r="BR569" i="3"/>
  <c r="BT569" i="3"/>
  <c r="H570" i="3"/>
  <c r="AC570" i="3"/>
  <c r="BN570" i="3"/>
  <c r="BP570" i="3"/>
  <c r="BR570" i="3"/>
  <c r="BT570" i="3"/>
  <c r="H571" i="3"/>
  <c r="AC571" i="3"/>
  <c r="BN571" i="3"/>
  <c r="BP571" i="3"/>
  <c r="BR571" i="3"/>
  <c r="BT571" i="3"/>
  <c r="H572" i="3"/>
  <c r="AC572" i="3"/>
  <c r="BN572" i="3"/>
  <c r="BP572" i="3"/>
  <c r="BR572" i="3"/>
  <c r="BT572" i="3"/>
  <c r="H573" i="3"/>
  <c r="AC573" i="3"/>
  <c r="G573" i="3"/>
  <c r="BN573" i="3"/>
  <c r="BP573" i="3"/>
  <c r="BR573" i="3"/>
  <c r="BT573" i="3"/>
  <c r="H574" i="3"/>
  <c r="AC574" i="3"/>
  <c r="G574" i="3"/>
  <c r="BN574" i="3"/>
  <c r="BP574" i="3"/>
  <c r="BR574" i="3"/>
  <c r="BT574" i="3"/>
  <c r="H575" i="3"/>
  <c r="AC575" i="3"/>
  <c r="BN575" i="3"/>
  <c r="BP575" i="3"/>
  <c r="BR575" i="3"/>
  <c r="BT575" i="3"/>
  <c r="H576" i="3"/>
  <c r="AC576" i="3"/>
  <c r="BN576" i="3"/>
  <c r="BP576" i="3"/>
  <c r="BR576" i="3"/>
  <c r="BT576" i="3"/>
  <c r="H577" i="3"/>
  <c r="AC577" i="3"/>
  <c r="BN577" i="3"/>
  <c r="BP577" i="3"/>
  <c r="BR577" i="3"/>
  <c r="BT577" i="3"/>
  <c r="H578" i="3"/>
  <c r="AC578" i="3"/>
  <c r="G578" i="3"/>
  <c r="BN578" i="3"/>
  <c r="BP578" i="3"/>
  <c r="BR578" i="3"/>
  <c r="BT578" i="3"/>
  <c r="H579" i="3"/>
  <c r="AC579" i="3"/>
  <c r="BN579" i="3"/>
  <c r="BP579" i="3"/>
  <c r="BR579" i="3"/>
  <c r="BT579" i="3"/>
  <c r="H580" i="3"/>
  <c r="AC580" i="3"/>
  <c r="BN580" i="3"/>
  <c r="BP580" i="3"/>
  <c r="BR580" i="3"/>
  <c r="BT580" i="3"/>
  <c r="H581" i="3"/>
  <c r="AC581" i="3"/>
  <c r="BN581" i="3"/>
  <c r="BP581" i="3"/>
  <c r="BR581" i="3"/>
  <c r="BT581" i="3"/>
  <c r="H582" i="3"/>
  <c r="AC582" i="3"/>
  <c r="G582" i="3"/>
  <c r="BN582" i="3"/>
  <c r="BP582" i="3"/>
  <c r="BR582" i="3"/>
  <c r="BT582" i="3"/>
  <c r="H583" i="3"/>
  <c r="AC583" i="3"/>
  <c r="BN583" i="3"/>
  <c r="BP583" i="3"/>
  <c r="BR583" i="3"/>
  <c r="BT583" i="3"/>
  <c r="H584" i="3"/>
  <c r="AC584" i="3"/>
  <c r="BN584" i="3"/>
  <c r="BP584" i="3"/>
  <c r="BR584" i="3"/>
  <c r="BT584" i="3"/>
  <c r="H7" i="12"/>
  <c r="I7" i="12"/>
  <c r="J7" i="12"/>
  <c r="K7" i="12"/>
  <c r="H111" i="21"/>
  <c r="B110" i="39"/>
  <c r="B112" i="39"/>
  <c r="H36" i="39"/>
  <c r="AB36" i="39"/>
  <c r="J30" i="36"/>
  <c r="AC30" i="36"/>
  <c r="H30" i="36"/>
  <c r="F30" i="36"/>
  <c r="AA30" i="36"/>
  <c r="C26" i="35"/>
  <c r="C79" i="35"/>
  <c r="J31" i="35"/>
  <c r="W31" i="35"/>
  <c r="H31" i="35"/>
  <c r="AB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S42" i="34"/>
  <c r="J38" i="34"/>
  <c r="W38" i="34"/>
  <c r="D114" i="34"/>
  <c r="F38" i="34"/>
  <c r="S38" i="34"/>
  <c r="D112" i="34"/>
  <c r="E112" i="34"/>
  <c r="F112" i="34"/>
  <c r="G112" i="34"/>
  <c r="H112" i="34"/>
  <c r="I112" i="34"/>
  <c r="J112" i="34"/>
  <c r="K112" i="34"/>
  <c r="L112" i="34"/>
  <c r="M112" i="34"/>
  <c r="F40" i="33"/>
  <c r="J41" i="33"/>
  <c r="W41" i="33"/>
  <c r="D113" i="33"/>
  <c r="F37" i="33"/>
  <c r="D111" i="33"/>
  <c r="E111" i="33"/>
  <c r="F111" i="33"/>
  <c r="S515" i="31"/>
  <c r="S516" i="31"/>
  <c r="S517" i="31"/>
  <c r="S518" i="31"/>
  <c r="S519" i="31"/>
  <c r="S520" i="31"/>
  <c r="S521" i="31"/>
  <c r="S522" i="31"/>
  <c r="S523" i="31"/>
  <c r="S524"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H39" i="40"/>
  <c r="U39" i="40"/>
  <c r="J39"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F88" i="40"/>
  <c r="G88" i="40"/>
  <c r="D86" i="40"/>
  <c r="E86" i="40"/>
  <c r="F86" i="40"/>
  <c r="G86" i="40"/>
  <c r="D84" i="40"/>
  <c r="E84" i="40"/>
  <c r="F84" i="40"/>
  <c r="G84" i="40"/>
  <c r="B81" i="40"/>
  <c r="B79" i="40"/>
  <c r="J13" i="40"/>
  <c r="B77" i="40"/>
  <c r="J12" i="40"/>
  <c r="M74" i="40"/>
  <c r="L74" i="40"/>
  <c r="K74" i="40"/>
  <c r="J74" i="40"/>
  <c r="I74" i="40"/>
  <c r="H74" i="40"/>
  <c r="G74" i="40"/>
  <c r="F74" i="40"/>
  <c r="E74" i="40"/>
  <c r="D74" i="40"/>
  <c r="C74" i="40"/>
  <c r="P43" i="40"/>
  <c r="P42" i="40"/>
  <c r="V41" i="40"/>
  <c r="T41" i="40"/>
  <c r="R41" i="40"/>
  <c r="P41" i="40"/>
  <c r="Q40" i="40"/>
  <c r="Z40" i="40"/>
  <c r="J40" i="40"/>
  <c r="W40" i="40"/>
  <c r="H40" i="40"/>
  <c r="U40" i="40"/>
  <c r="AB40" i="40"/>
  <c r="F40" i="40"/>
  <c r="AA40" i="40"/>
  <c r="Q39" i="40"/>
  <c r="Z39" i="40"/>
  <c r="Q38" i="40"/>
  <c r="Z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F44" i="39"/>
  <c r="AA44"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U9" i="39"/>
  <c r="AB9" i="39"/>
  <c r="F9" i="39"/>
  <c r="AA9" i="39"/>
  <c r="J8" i="39"/>
  <c r="AC8" i="39"/>
  <c r="H8" i="39"/>
  <c r="U8" i="39"/>
  <c r="F8" i="39"/>
  <c r="AA8" i="39"/>
  <c r="C20" i="36"/>
  <c r="C20" i="35"/>
  <c r="C16" i="36"/>
  <c r="C16" i="35"/>
  <c r="C14" i="36"/>
  <c r="C14" i="35"/>
  <c r="B80" i="37"/>
  <c r="F25"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W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E85" i="36"/>
  <c r="H29" i="36"/>
  <c r="D81" i="36"/>
  <c r="E81" i="36"/>
  <c r="F81" i="36"/>
  <c r="G81" i="36"/>
  <c r="H81" i="36"/>
  <c r="I81" i="36"/>
  <c r="J81" i="36"/>
  <c r="K81" i="36"/>
  <c r="L81" i="36"/>
  <c r="M81" i="36"/>
  <c r="F79" i="36"/>
  <c r="E79" i="36"/>
  <c r="D79" i="36"/>
  <c r="C79" i="36"/>
  <c r="B93" i="36"/>
  <c r="F33" i="36"/>
  <c r="AA33" i="36"/>
  <c r="H33" i="36"/>
  <c r="B91" i="36"/>
  <c r="F32" i="36"/>
  <c r="B95" i="36"/>
  <c r="J34" i="36"/>
  <c r="W34" i="36"/>
  <c r="H34" i="36"/>
  <c r="D83" i="36"/>
  <c r="E83" i="36"/>
  <c r="F83" i="36"/>
  <c r="G83" i="36"/>
  <c r="H83" i="36"/>
  <c r="I83" i="36"/>
  <c r="J83" i="36"/>
  <c r="K83" i="36"/>
  <c r="L83" i="36"/>
  <c r="M83" i="36"/>
  <c r="D78" i="36"/>
  <c r="E78" i="36"/>
  <c r="F78" i="36"/>
  <c r="G78" i="36"/>
  <c r="H78" i="36"/>
  <c r="I78" i="36"/>
  <c r="J78" i="36"/>
  <c r="K78" i="36"/>
  <c r="L78" i="36"/>
  <c r="M78" i="36"/>
  <c r="B75" i="36"/>
  <c r="B73" i="36"/>
  <c r="H24" i="36"/>
  <c r="J24" i="36"/>
  <c r="AC24" i="36"/>
  <c r="B71" i="36"/>
  <c r="D70" i="36"/>
  <c r="H22" i="36"/>
  <c r="AB22" i="36"/>
  <c r="D68" i="36"/>
  <c r="E68" i="36"/>
  <c r="F68" i="36"/>
  <c r="G68" i="36"/>
  <c r="D64" i="36"/>
  <c r="E64" i="36"/>
  <c r="F64" i="36"/>
  <c r="G64" i="36"/>
  <c r="J16" i="36"/>
  <c r="W16" i="36"/>
  <c r="D62" i="36"/>
  <c r="E62" i="36"/>
  <c r="F62" i="36"/>
  <c r="G62" i="36"/>
  <c r="B59" i="36"/>
  <c r="B57" i="36"/>
  <c r="F12"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AB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J13"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U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9" i="34"/>
  <c r="W9" i="34"/>
  <c r="AC9" i="34"/>
  <c r="F9" i="34"/>
  <c r="S9" i="34"/>
  <c r="AA9" i="34"/>
  <c r="J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J9" i="33"/>
  <c r="AC9"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H9" i="33"/>
  <c r="AB9" i="33"/>
  <c r="J8" i="33"/>
  <c r="AC8" i="33"/>
  <c r="H8" i="33"/>
  <c r="AB8" i="33"/>
  <c r="F8" i="33"/>
  <c r="S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C25" i="39"/>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J46" i="21"/>
  <c r="B128" i="21"/>
  <c r="B126" i="21"/>
  <c r="J44" i="21"/>
  <c r="B98" i="21"/>
  <c r="B96" i="21"/>
  <c r="B94" i="21"/>
  <c r="J29" i="21"/>
  <c r="AC29" i="21"/>
  <c r="B92" i="21"/>
  <c r="B90" i="21"/>
  <c r="J27" i="21"/>
  <c r="W27" i="21"/>
  <c r="B74" i="21"/>
  <c r="B72" i="21"/>
  <c r="H13" i="21"/>
  <c r="AB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N585" i="3"/>
  <c r="BP585" i="3"/>
  <c r="BR585" i="3"/>
  <c r="BT585" i="3"/>
  <c r="BN586" i="3"/>
  <c r="BP586" i="3"/>
  <c r="BR586" i="3"/>
  <c r="BT586" i="3"/>
  <c r="BN587" i="3"/>
  <c r="BP587" i="3"/>
  <c r="BR587" i="3"/>
  <c r="BT587" i="3"/>
  <c r="AC585" i="3"/>
  <c r="H585" i="3"/>
  <c r="G585" i="3"/>
  <c r="AC586" i="3"/>
  <c r="H586" i="3"/>
  <c r="G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J26" i="21"/>
  <c r="W26" i="21"/>
  <c r="F26" i="21"/>
  <c r="S26" i="21"/>
  <c r="S41" i="21"/>
  <c r="AA41" i="21"/>
  <c r="F45" i="39"/>
  <c r="S45" i="39"/>
  <c r="J45" i="39"/>
  <c r="W45" i="39"/>
  <c r="J44" i="39"/>
  <c r="AC44" i="39"/>
  <c r="F36" i="39"/>
  <c r="S36" i="39"/>
  <c r="J35" i="39"/>
  <c r="W35" i="39"/>
  <c r="AC35" i="39"/>
  <c r="F35" i="39"/>
  <c r="AA35" i="39"/>
  <c r="J36" i="39"/>
  <c r="AC36" i="39"/>
  <c r="W40" i="39"/>
  <c r="W25" i="37"/>
  <c r="U30" i="37"/>
  <c r="E103" i="37"/>
  <c r="F103" i="37"/>
  <c r="G103" i="37"/>
  <c r="H103" i="37"/>
  <c r="I103" i="37"/>
  <c r="J103" i="37"/>
  <c r="K103" i="37"/>
  <c r="L103" i="37"/>
  <c r="M103" i="37"/>
  <c r="F39" i="37"/>
  <c r="F29" i="36"/>
  <c r="AA29" i="36"/>
  <c r="W8" i="36"/>
  <c r="F16" i="36"/>
  <c r="AA16" i="36"/>
  <c r="U9" i="36"/>
  <c r="W28" i="36"/>
  <c r="S30" i="36"/>
  <c r="AA31" i="36"/>
  <c r="AC31" i="36"/>
  <c r="W31" i="36"/>
  <c r="J33" i="36"/>
  <c r="W33" i="36"/>
  <c r="H22" i="35"/>
  <c r="AB22" i="35"/>
  <c r="AC27" i="35"/>
  <c r="W28" i="35"/>
  <c r="U31" i="35"/>
  <c r="S34" i="35"/>
  <c r="W34" i="35"/>
  <c r="W36" i="35"/>
  <c r="W22" i="35"/>
  <c r="S31" i="35"/>
  <c r="U34" i="35"/>
  <c r="F36" i="34"/>
  <c r="J35" i="34"/>
  <c r="S34" i="34"/>
  <c r="U34" i="34"/>
  <c r="H39" i="33"/>
  <c r="AB39" i="33"/>
  <c r="F26" i="33"/>
  <c r="S26" i="33"/>
  <c r="AA26" i="33"/>
  <c r="U33" i="33"/>
  <c r="U35" i="33"/>
  <c r="S40" i="33"/>
  <c r="W33" i="33"/>
  <c r="W39" i="33"/>
  <c r="S27" i="35"/>
  <c r="F11" i="40"/>
  <c r="AA11" i="40"/>
  <c r="H11" i="40"/>
  <c r="AB11" i="40"/>
  <c r="W8" i="40"/>
  <c r="AB39" i="40"/>
  <c r="AC40" i="40"/>
  <c r="AA9" i="40"/>
  <c r="AC9" i="40"/>
  <c r="U9" i="40"/>
  <c r="S34" i="40"/>
  <c r="U38" i="40"/>
  <c r="S40" i="40"/>
  <c r="W31" i="40"/>
  <c r="U34" i="40"/>
  <c r="F42" i="39"/>
  <c r="AA42" i="39"/>
  <c r="F41" i="39"/>
  <c r="S41" i="39"/>
  <c r="H40" i="39"/>
  <c r="AB40" i="39"/>
  <c r="H39" i="39"/>
  <c r="U39" i="39"/>
  <c r="S38" i="39"/>
  <c r="S34" i="39"/>
  <c r="H34" i="39"/>
  <c r="E109" i="39"/>
  <c r="H31" i="39"/>
  <c r="AB31" i="39"/>
  <c r="F31" i="39"/>
  <c r="AA31" i="39"/>
  <c r="E101" i="39"/>
  <c r="H19" i="39"/>
  <c r="AB19" i="39"/>
  <c r="F19" i="39"/>
  <c r="AA19" i="39"/>
  <c r="H17" i="39"/>
  <c r="AB17" i="39"/>
  <c r="F17" i="39"/>
  <c r="AA17" i="39"/>
  <c r="J23" i="40"/>
  <c r="AC23" i="40"/>
  <c r="F21" i="40"/>
  <c r="AA21" i="40"/>
  <c r="J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U34" i="21"/>
  <c r="S34" i="21"/>
  <c r="C21" i="39"/>
  <c r="H11" i="39"/>
  <c r="S40" i="39"/>
  <c r="C15" i="39"/>
  <c r="H32" i="33"/>
  <c r="AB32" i="33"/>
  <c r="H11" i="21"/>
  <c r="U11" i="21"/>
  <c r="J11" i="21"/>
  <c r="W11" i="21"/>
  <c r="H37" i="40"/>
  <c r="U37" i="40"/>
  <c r="H36" i="40"/>
  <c r="AB36" i="40"/>
  <c r="F35" i="40"/>
  <c r="AA35" i="40"/>
  <c r="H23" i="40"/>
  <c r="U23" i="40"/>
  <c r="AB23" i="40"/>
  <c r="H17" i="40"/>
  <c r="U17" i="40"/>
  <c r="J15" i="40"/>
  <c r="W15" i="40"/>
  <c r="J11" i="40"/>
  <c r="W11" i="40"/>
  <c r="AB8" i="39"/>
  <c r="AB12" i="33"/>
  <c r="AB12" i="35"/>
  <c r="W32" i="40"/>
  <c r="S44" i="39"/>
  <c r="F37" i="39"/>
  <c r="AA37" i="39"/>
  <c r="U30" i="36"/>
  <c r="J30" i="35"/>
  <c r="W30" i="35"/>
  <c r="H30" i="35"/>
  <c r="AB30" i="35"/>
  <c r="F22" i="35"/>
  <c r="AA22" i="35"/>
  <c r="H10" i="35"/>
  <c r="U10" i="35"/>
  <c r="AC16" i="36"/>
  <c r="W30" i="36"/>
  <c r="H16" i="36"/>
  <c r="AB16" i="36"/>
  <c r="F85" i="36"/>
  <c r="G85" i="36"/>
  <c r="H85" i="36"/>
  <c r="I85" i="36"/>
  <c r="J85" i="36"/>
  <c r="K85" i="36"/>
  <c r="L85" i="36"/>
  <c r="M85" i="36"/>
  <c r="J29" i="36"/>
  <c r="AC29" i="36"/>
  <c r="F24" i="36"/>
  <c r="AA24" i="36"/>
  <c r="F34" i="36"/>
  <c r="S34" i="36"/>
  <c r="S10" i="36"/>
  <c r="AB8" i="36"/>
  <c r="S8" i="36"/>
  <c r="F14" i="35"/>
  <c r="AA14" i="35"/>
  <c r="F23" i="35"/>
  <c r="AA23" i="35"/>
  <c r="J32" i="35"/>
  <c r="AC32" i="35"/>
  <c r="J16" i="35"/>
  <c r="H16" i="35"/>
  <c r="U16" i="35"/>
  <c r="F16" i="35"/>
  <c r="S16" i="35"/>
  <c r="H14" i="35"/>
  <c r="J29" i="35"/>
  <c r="H33" i="35"/>
  <c r="AB33" i="35"/>
  <c r="AC8" i="35"/>
  <c r="J20" i="35"/>
  <c r="W20" i="35"/>
  <c r="F35" i="37"/>
  <c r="S35" i="37"/>
  <c r="E101" i="37"/>
  <c r="F101" i="37"/>
  <c r="G101" i="37"/>
  <c r="H101" i="37"/>
  <c r="I101" i="37"/>
  <c r="J101" i="37"/>
  <c r="K101" i="37"/>
  <c r="L101" i="37"/>
  <c r="M101" i="37"/>
  <c r="J34" i="37"/>
  <c r="W34" i="37"/>
  <c r="S10" i="37"/>
  <c r="AB34" i="37"/>
  <c r="J33" i="37"/>
  <c r="AC33" i="37"/>
  <c r="U42" i="34"/>
  <c r="H40" i="34"/>
  <c r="U40" i="34"/>
  <c r="E114" i="34"/>
  <c r="H36" i="34"/>
  <c r="U36" i="34"/>
  <c r="F37" i="34"/>
  <c r="AA37" i="34"/>
  <c r="S35" i="34"/>
  <c r="AA28" i="34"/>
  <c r="F27" i="34"/>
  <c r="AA27" i="34"/>
  <c r="F25" i="34"/>
  <c r="S25" i="34"/>
  <c r="H23" i="34"/>
  <c r="J23" i="34"/>
  <c r="F19" i="34"/>
  <c r="H17" i="34"/>
  <c r="U17" i="34"/>
  <c r="F15" i="34"/>
  <c r="J15" i="34"/>
  <c r="H15" i="34"/>
  <c r="AB15" i="34"/>
  <c r="J28" i="34"/>
  <c r="W28" i="34"/>
  <c r="F41" i="33"/>
  <c r="AA41" i="33"/>
  <c r="S38" i="33"/>
  <c r="E113" i="33"/>
  <c r="F113" i="33"/>
  <c r="G113" i="33"/>
  <c r="H113" i="33"/>
  <c r="I113" i="33"/>
  <c r="J113" i="33"/>
  <c r="F32" i="33"/>
  <c r="AA32" i="33"/>
  <c r="J19" i="33"/>
  <c r="AC19" i="33"/>
  <c r="J15" i="33"/>
  <c r="AC15" i="33"/>
  <c r="F11" i="33"/>
  <c r="AA11" i="33"/>
  <c r="W40" i="33"/>
  <c r="U8" i="33"/>
  <c r="F37" i="40"/>
  <c r="AA37" i="40"/>
  <c r="F36" i="40"/>
  <c r="AA36" i="40"/>
  <c r="H28" i="40"/>
  <c r="U28" i="40"/>
  <c r="F23" i="40"/>
  <c r="AA23" i="40"/>
  <c r="F17" i="40"/>
  <c r="AA17" i="40"/>
  <c r="J17" i="40"/>
  <c r="W17" i="40"/>
  <c r="F15" i="40"/>
  <c r="S15" i="40"/>
  <c r="H15" i="40"/>
  <c r="AB15" i="40"/>
  <c r="AC11" i="40"/>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J17" i="34"/>
  <c r="W17" i="34"/>
  <c r="AB17" i="34"/>
  <c r="AA15" i="34"/>
  <c r="S15" i="34"/>
  <c r="S41" i="33"/>
  <c r="K113" i="33"/>
  <c r="L113" i="33"/>
  <c r="M113" i="33"/>
  <c r="H37" i="33"/>
  <c r="AB37" i="33"/>
  <c r="H15" i="33"/>
  <c r="AB15" i="33"/>
  <c r="H11" i="33"/>
  <c r="AB11" i="33"/>
  <c r="F28" i="40"/>
  <c r="AA28" i="40"/>
  <c r="AA29" i="35"/>
  <c r="AA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AC44" i="21"/>
  <c r="H44" i="21"/>
  <c r="H46" i="21"/>
  <c r="U46" i="21"/>
  <c r="F46" i="21"/>
  <c r="AA46" i="21"/>
  <c r="E119" i="21"/>
  <c r="F119" i="21"/>
  <c r="G119" i="21"/>
  <c r="H119" i="21"/>
  <c r="I119" i="21"/>
  <c r="J119" i="21"/>
  <c r="K119" i="21"/>
  <c r="L119" i="21"/>
  <c r="M119" i="21"/>
  <c r="H26" i="33"/>
  <c r="U26" i="33"/>
  <c r="H28" i="33"/>
  <c r="U28" i="33"/>
  <c r="F28" i="33"/>
  <c r="AA28" i="33"/>
  <c r="J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F31" i="21"/>
  <c r="S31" i="21"/>
  <c r="F27" i="33"/>
  <c r="AA27" i="33"/>
  <c r="H13" i="33"/>
  <c r="AB13" i="33"/>
  <c r="F13" i="33"/>
  <c r="S13" i="33"/>
  <c r="J29" i="33"/>
  <c r="AC29" i="33"/>
  <c r="H29" i="33"/>
  <c r="F29" i="33"/>
  <c r="S29" i="33"/>
  <c r="J31" i="33"/>
  <c r="W31" i="33"/>
  <c r="H31" i="33"/>
  <c r="F31" i="33"/>
  <c r="H45" i="33"/>
  <c r="U45" i="33"/>
  <c r="J45" i="33"/>
  <c r="W45" i="33"/>
  <c r="F45" i="33"/>
  <c r="AA45" i="33"/>
  <c r="J14" i="34"/>
  <c r="W14" i="34"/>
  <c r="F14" i="34"/>
  <c r="H14" i="34"/>
  <c r="H30" i="34"/>
  <c r="F30" i="34"/>
  <c r="S30" i="34"/>
  <c r="J30" i="34"/>
  <c r="H32" i="34"/>
  <c r="F32" i="34"/>
  <c r="J32" i="34"/>
  <c r="W32" i="34"/>
  <c r="H46" i="34"/>
  <c r="U46" i="34"/>
  <c r="F46" i="34"/>
  <c r="J46" i="34"/>
  <c r="H11" i="35"/>
  <c r="U11" i="35"/>
  <c r="J11" i="35"/>
  <c r="AC11" i="35"/>
  <c r="F11" i="35"/>
  <c r="J26" i="36"/>
  <c r="W26" i="36"/>
  <c r="H28" i="36"/>
  <c r="U28" i="36"/>
  <c r="H32" i="36"/>
  <c r="J32" i="36"/>
  <c r="W32" i="36"/>
  <c r="J11" i="36"/>
  <c r="AC11" i="36"/>
  <c r="H11" i="36"/>
  <c r="U11" i="36"/>
  <c r="F11" i="36"/>
  <c r="S11" i="36"/>
  <c r="H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F14" i="33"/>
  <c r="S14" i="33"/>
  <c r="J14" i="33"/>
  <c r="H30" i="33"/>
  <c r="F30" i="33"/>
  <c r="J30" i="33"/>
  <c r="H44" i="33"/>
  <c r="J44" i="33"/>
  <c r="AC44" i="33"/>
  <c r="F44" i="33"/>
  <c r="S44" i="33"/>
  <c r="J46" i="33"/>
  <c r="AC46" i="33"/>
  <c r="F46" i="33"/>
  <c r="AA46" i="33"/>
  <c r="H46" i="33"/>
  <c r="AB46" i="33"/>
  <c r="H13" i="34"/>
  <c r="J13" i="34"/>
  <c r="W13" i="34"/>
  <c r="F13" i="34"/>
  <c r="AA13" i="34"/>
  <c r="J29" i="34"/>
  <c r="F29" i="34"/>
  <c r="S29" i="34"/>
  <c r="H29" i="34"/>
  <c r="AB29" i="34"/>
  <c r="J31" i="34"/>
  <c r="AC31" i="34"/>
  <c r="H31" i="34"/>
  <c r="F31" i="34"/>
  <c r="S31" i="34"/>
  <c r="H45" i="34"/>
  <c r="U45" i="34"/>
  <c r="J45" i="34"/>
  <c r="W45" i="34"/>
  <c r="F45" i="34"/>
  <c r="S45" i="34"/>
  <c r="H47" i="34"/>
  <c r="U47" i="34"/>
  <c r="F47" i="34"/>
  <c r="J47" i="34"/>
  <c r="AC47" i="34"/>
  <c r="F13" i="35"/>
  <c r="J13" i="35"/>
  <c r="AC13" i="35"/>
  <c r="H13" i="35"/>
  <c r="U13" i="35"/>
  <c r="J25" i="35"/>
  <c r="W25" i="35"/>
  <c r="F25" i="35"/>
  <c r="H25" i="35"/>
  <c r="AB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F12" i="40"/>
  <c r="S12" i="40"/>
  <c r="H12" i="40"/>
  <c r="AB12" i="40"/>
  <c r="H30" i="40"/>
  <c r="AB30" i="40"/>
  <c r="F33" i="40"/>
  <c r="AA33" i="40"/>
  <c r="H33" i="40"/>
  <c r="U33" i="40"/>
  <c r="J35" i="40"/>
  <c r="AC35" i="40"/>
  <c r="J37" i="40"/>
  <c r="AC37" i="40"/>
  <c r="H13" i="40"/>
  <c r="U13" i="40"/>
  <c r="W13" i="40"/>
  <c r="F13" i="40"/>
  <c r="AA13" i="40"/>
  <c r="F27" i="37"/>
  <c r="AA27" i="37"/>
  <c r="F13" i="39"/>
  <c r="J13" i="39"/>
  <c r="W13" i="39"/>
  <c r="H13" i="39"/>
  <c r="H14" i="40"/>
  <c r="AB14" i="40"/>
  <c r="J14" i="40"/>
  <c r="F14" i="40"/>
  <c r="AA14" i="40"/>
  <c r="J14" i="37"/>
  <c r="J27" i="37"/>
  <c r="AC27" i="37"/>
  <c r="AA44" i="33"/>
  <c r="U46" i="33"/>
  <c r="J36" i="37"/>
  <c r="AC36" i="37"/>
  <c r="AB11" i="36"/>
  <c r="AB11" i="35"/>
  <c r="J10" i="36"/>
  <c r="AC10" i="36"/>
  <c r="AB26" i="33"/>
  <c r="AB30" i="21"/>
  <c r="W31" i="34"/>
  <c r="AC13" i="36"/>
  <c r="W13" i="36"/>
  <c r="W11" i="36"/>
  <c r="W11" i="35"/>
  <c r="S45" i="33"/>
  <c r="AB45" i="33"/>
  <c r="W29" i="33"/>
  <c r="U13" i="33"/>
  <c r="AC28" i="21"/>
  <c r="S44" i="34"/>
  <c r="BA586" i="3"/>
  <c r="F17" i="21"/>
  <c r="AA17" i="21"/>
  <c r="H17" i="21"/>
  <c r="AB17" i="21"/>
  <c r="F15" i="21"/>
  <c r="S15" i="21"/>
  <c r="AB11" i="21"/>
  <c r="J41" i="39"/>
  <c r="W41" i="39"/>
  <c r="AC45" i="39"/>
  <c r="W44" i="39"/>
  <c r="W36" i="39"/>
  <c r="U36" i="39"/>
  <c r="S35" i="39"/>
  <c r="G540" i="3"/>
  <c r="G536" i="3"/>
  <c r="G535" i="3"/>
  <c r="G532" i="3"/>
  <c r="G531" i="3"/>
  <c r="G528" i="3"/>
  <c r="G527" i="3"/>
  <c r="G523" i="3"/>
  <c r="G514" i="3"/>
  <c r="G510" i="3"/>
  <c r="G508" i="3"/>
  <c r="G500" i="3"/>
  <c r="G496" i="3"/>
  <c r="G584" i="3"/>
  <c r="G580" i="3"/>
  <c r="G576" i="3"/>
  <c r="G572" i="3"/>
  <c r="G568" i="3"/>
  <c r="G554" i="3"/>
  <c r="G550" i="3"/>
  <c r="BL580" i="3"/>
  <c r="BL576" i="3"/>
  <c r="BL572" i="3"/>
  <c r="BL564" i="3"/>
  <c r="BL554" i="3"/>
  <c r="BL538" i="3"/>
  <c r="BL534" i="3"/>
  <c r="BL526" i="3"/>
  <c r="BL522" i="3"/>
  <c r="BL516" i="3"/>
  <c r="BL506" i="3"/>
  <c r="BL502" i="3"/>
  <c r="BL498" i="3"/>
  <c r="BL582" i="3"/>
  <c r="BL578" i="3"/>
  <c r="BL574" i="3"/>
  <c r="BL566" i="3"/>
  <c r="BL562" i="3"/>
  <c r="BL556" i="3"/>
  <c r="BL552" i="3"/>
  <c r="BL540" i="3"/>
  <c r="BL536" i="3"/>
  <c r="G533" i="3"/>
  <c r="BL532" i="3"/>
  <c r="G529" i="3"/>
  <c r="BL528" i="3"/>
  <c r="BL524" i="3"/>
  <c r="BL518" i="3"/>
  <c r="BL514" i="3"/>
  <c r="BL504" i="3"/>
  <c r="BL500" i="3"/>
  <c r="BL496" i="3"/>
  <c r="G493" i="3"/>
  <c r="BA584" i="3"/>
  <c r="BA582" i="3"/>
  <c r="AZ582" i="3"/>
  <c r="BA578" i="3"/>
  <c r="AZ578" i="3"/>
  <c r="BA574" i="3"/>
  <c r="BA570" i="3"/>
  <c r="BA566" i="3"/>
  <c r="AZ566" i="3"/>
  <c r="BA562" i="3"/>
  <c r="AZ562" i="3"/>
  <c r="BA556" i="3"/>
  <c r="AZ556" i="3"/>
  <c r="BA554" i="3"/>
  <c r="BA552" i="3"/>
  <c r="AZ552" i="3"/>
  <c r="BA540" i="3"/>
  <c r="AZ540" i="3"/>
  <c r="BA538" i="3"/>
  <c r="AZ538" i="3"/>
  <c r="BA536" i="3"/>
  <c r="AZ536" i="3"/>
  <c r="BA534" i="3"/>
  <c r="AZ534" i="3"/>
  <c r="BA532" i="3"/>
  <c r="AZ532" i="3"/>
  <c r="BA530" i="3"/>
  <c r="BA528" i="3"/>
  <c r="AZ528" i="3"/>
  <c r="BA524" i="3"/>
  <c r="AZ524" i="3"/>
  <c r="BA520" i="3"/>
  <c r="BA518" i="3"/>
  <c r="AZ518" i="3"/>
  <c r="BA514" i="3"/>
  <c r="BA512" i="3"/>
  <c r="BA510" i="3"/>
  <c r="BA508" i="3"/>
  <c r="BA504" i="3"/>
  <c r="AZ504" i="3"/>
  <c r="BA502" i="3"/>
  <c r="AZ502" i="3"/>
  <c r="BA498" i="3"/>
  <c r="AZ498" i="3"/>
  <c r="BA496" i="3"/>
  <c r="BA587" i="3"/>
  <c r="BA583" i="3"/>
  <c r="BA579" i="3"/>
  <c r="BA577" i="3"/>
  <c r="BA573" i="3"/>
  <c r="BA571" i="3"/>
  <c r="BA569" i="3"/>
  <c r="BL569" i="3"/>
  <c r="AZ569" i="3"/>
  <c r="BA565" i="3"/>
  <c r="BA563" i="3"/>
  <c r="BA555" i="3"/>
  <c r="BA553" i="3"/>
  <c r="BA549" i="3"/>
  <c r="BA541" i="3"/>
  <c r="BA537" i="3"/>
  <c r="BA535" i="3"/>
  <c r="BA533" i="3"/>
  <c r="BA529" i="3"/>
  <c r="BA527" i="3"/>
  <c r="BL527" i="3"/>
  <c r="AZ527" i="3"/>
  <c r="BA525" i="3"/>
  <c r="BA519" i="3"/>
  <c r="BA517" i="3"/>
  <c r="BA515" i="3"/>
  <c r="BL515" i="3"/>
  <c r="AZ515" i="3"/>
  <c r="BA511" i="3"/>
  <c r="BA507" i="3"/>
  <c r="BL507" i="3"/>
  <c r="AZ507" i="3"/>
  <c r="BA505" i="3"/>
  <c r="BA501" i="3"/>
  <c r="BA499" i="3"/>
  <c r="BA497" i="3"/>
  <c r="BL497" i="3"/>
  <c r="AZ497" i="3"/>
  <c r="BA493" i="3"/>
  <c r="G583" i="3"/>
  <c r="G581" i="3"/>
  <c r="G579" i="3"/>
  <c r="G577" i="3"/>
  <c r="G575" i="3"/>
  <c r="G571" i="3"/>
  <c r="G569" i="3"/>
  <c r="G567" i="3"/>
  <c r="G563" i="3"/>
  <c r="AC557" i="3"/>
  <c r="G557" i="3"/>
  <c r="BL557" i="3"/>
  <c r="BL583" i="3"/>
  <c r="BL581" i="3"/>
  <c r="BL577" i="3"/>
  <c r="BL575" i="3"/>
  <c r="BL573" i="3"/>
  <c r="AZ573" i="3"/>
  <c r="BL567" i="3"/>
  <c r="BL565" i="3"/>
  <c r="AZ565" i="3"/>
  <c r="G559" i="3"/>
  <c r="G555" i="3"/>
  <c r="G553" i="3"/>
  <c r="G549" i="3"/>
  <c r="G543" i="3"/>
  <c r="G541" i="3"/>
  <c r="G539" i="3"/>
  <c r="BL555" i="3"/>
  <c r="AZ555" i="3"/>
  <c r="BL553" i="3"/>
  <c r="AZ553" i="3"/>
  <c r="BL551" i="3"/>
  <c r="BL539" i="3"/>
  <c r="BL537" i="3"/>
  <c r="AZ537" i="3"/>
  <c r="BL535" i="3"/>
  <c r="AZ535" i="3"/>
  <c r="BL531" i="3"/>
  <c r="BL529" i="3"/>
  <c r="AZ529" i="3"/>
  <c r="BL523" i="3"/>
  <c r="BA521" i="3"/>
  <c r="BL521" i="3"/>
  <c r="AZ521" i="3"/>
  <c r="AC521" i="3"/>
  <c r="BL520" i="3"/>
  <c r="G519" i="3"/>
  <c r="G517" i="3"/>
  <c r="G515" i="3"/>
  <c r="G511" i="3"/>
  <c r="BL519" i="3"/>
  <c r="BL517" i="3"/>
  <c r="AZ517" i="3"/>
  <c r="BL511" i="3"/>
  <c r="BA509" i="3"/>
  <c r="AC509" i="3"/>
  <c r="BL508" i="3"/>
  <c r="AZ508" i="3"/>
  <c r="G507" i="3"/>
  <c r="G503" i="3"/>
  <c r="G501" i="3"/>
  <c r="G499" i="3"/>
  <c r="G495" i="3"/>
  <c r="BL505" i="3"/>
  <c r="AZ505" i="3"/>
  <c r="BL503" i="3"/>
  <c r="BL501" i="3"/>
  <c r="AZ501" i="3"/>
  <c r="BL499" i="3"/>
  <c r="AZ499"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AA12" i="35"/>
  <c r="W23" i="35"/>
  <c r="AB28" i="37"/>
  <c r="U33" i="37"/>
  <c r="W26" i="37"/>
  <c r="AC8" i="37"/>
  <c r="U26" i="37"/>
  <c r="W47" i="34"/>
  <c r="W37" i="34"/>
  <c r="AB37" i="34"/>
  <c r="AC36" i="34"/>
  <c r="AA13" i="33"/>
  <c r="AC31" i="33"/>
  <c r="AC45" i="33"/>
  <c r="W44" i="33"/>
  <c r="U11" i="33"/>
  <c r="U19" i="21"/>
  <c r="W44" i="21"/>
  <c r="U26" i="21"/>
  <c r="AB38" i="21"/>
  <c r="F43" i="33"/>
  <c r="W15" i="34"/>
  <c r="AC15" i="34"/>
  <c r="W40" i="37"/>
  <c r="G107" i="37"/>
  <c r="H107" i="37"/>
  <c r="I107" i="37"/>
  <c r="J107" i="37"/>
  <c r="K107" i="37"/>
  <c r="L107" i="37"/>
  <c r="M107" i="37"/>
  <c r="H37" i="21"/>
  <c r="U37" i="21"/>
  <c r="S42" i="21"/>
  <c r="H19" i="34"/>
  <c r="AB19" i="34"/>
  <c r="F36" i="35"/>
  <c r="S36" i="35"/>
  <c r="J9" i="37"/>
  <c r="H9" i="37"/>
  <c r="AB9" i="37"/>
  <c r="F9" i="37"/>
  <c r="J12" i="37"/>
  <c r="W12" i="37"/>
  <c r="H12" i="37"/>
  <c r="F12" i="37"/>
  <c r="S12" i="37"/>
  <c r="E71" i="37"/>
  <c r="F71" i="37"/>
  <c r="G71" i="37"/>
  <c r="F15" i="37"/>
  <c r="AA15" i="37"/>
  <c r="E94" i="37"/>
  <c r="F94" i="37"/>
  <c r="G94" i="37"/>
  <c r="H94" i="37"/>
  <c r="F31" i="37"/>
  <c r="S31" i="37"/>
  <c r="F12" i="39"/>
  <c r="S12" i="39"/>
  <c r="J42" i="39"/>
  <c r="AC42" i="39"/>
  <c r="H21" i="40"/>
  <c r="AB21" i="40"/>
  <c r="AC12" i="37"/>
  <c r="I94" i="37"/>
  <c r="J94" i="37"/>
  <c r="K94" i="37"/>
  <c r="L94" i="37"/>
  <c r="M94" i="37"/>
  <c r="H31" i="37"/>
  <c r="U31" i="37"/>
  <c r="J15" i="37"/>
  <c r="W15" i="37"/>
  <c r="AT6" i="3"/>
  <c r="AA25" i="21"/>
  <c r="H19" i="40"/>
  <c r="U19"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U40" i="39"/>
  <c r="S42" i="39"/>
  <c r="AA41" i="39"/>
  <c r="W9" i="39"/>
  <c r="W8" i="39"/>
  <c r="J19" i="40"/>
  <c r="AC19" i="40"/>
  <c r="J50" i="40"/>
  <c r="B54" i="72"/>
  <c r="H103" i="9"/>
  <c r="D8" i="53"/>
  <c r="B16" i="53"/>
  <c r="B33" i="72"/>
  <c r="C7" i="37"/>
  <c r="C52" i="37"/>
  <c r="D52" i="37"/>
  <c r="C7" i="34"/>
  <c r="C59" i="34"/>
  <c r="D59" i="34"/>
  <c r="E59" i="34"/>
  <c r="F59" i="34"/>
  <c r="G59" i="34"/>
  <c r="C7" i="36"/>
  <c r="W35" i="40"/>
  <c r="A4" i="52"/>
  <c r="B41" i="72"/>
  <c r="J11" i="39"/>
  <c r="F11" i="39"/>
  <c r="AA11" i="39"/>
  <c r="S11" i="39"/>
  <c r="G4" i="4"/>
  <c r="I4" i="4"/>
  <c r="K5" i="4"/>
  <c r="B47" i="48"/>
  <c r="F59" i="43"/>
  <c r="H67" i="43"/>
  <c r="AZ20" i="3"/>
  <c r="AZ28" i="3"/>
  <c r="AZ32" i="3"/>
  <c r="BL549" i="3"/>
  <c r="AZ514" i="3"/>
  <c r="G524" i="3"/>
  <c r="G303" i="3"/>
  <c r="BL304" i="3"/>
  <c r="G305" i="3"/>
  <c r="BL306" i="3"/>
  <c r="BA308" i="3"/>
  <c r="AZ308" i="3"/>
  <c r="BA309" i="3"/>
  <c r="BL309" i="3"/>
  <c r="G310" i="3"/>
  <c r="BA311" i="3"/>
  <c r="G319" i="3"/>
  <c r="BL320" i="3"/>
  <c r="G321" i="3"/>
  <c r="BL322" i="3"/>
  <c r="BA324" i="3"/>
  <c r="AZ324" i="3"/>
  <c r="BA325" i="3"/>
  <c r="BL325" i="3"/>
  <c r="AZ325" i="3"/>
  <c r="G326" i="3"/>
  <c r="BA327" i="3"/>
  <c r="G335" i="3"/>
  <c r="BL336" i="3"/>
  <c r="G337" i="3"/>
  <c r="BL338" i="3"/>
  <c r="BA340" i="3"/>
  <c r="AZ340" i="3"/>
  <c r="BA341" i="3"/>
  <c r="BL341" i="3"/>
  <c r="BA343" i="3"/>
  <c r="BA345" i="3"/>
  <c r="BL355" i="3"/>
  <c r="G356" i="3"/>
  <c r="BL357" i="3"/>
  <c r="BA359" i="3"/>
  <c r="AZ359" i="3"/>
  <c r="BA360" i="3"/>
  <c r="BL360" i="3"/>
  <c r="AZ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AZ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AZ136" i="3"/>
  <c r="G137" i="3"/>
  <c r="BA139" i="3"/>
  <c r="AZ139" i="3"/>
  <c r="BL140" i="3"/>
  <c r="AZ140" i="3"/>
  <c r="G141" i="3"/>
  <c r="BA143" i="3"/>
  <c r="AZ143" i="3"/>
  <c r="BL144" i="3"/>
  <c r="AZ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AZ168" i="3"/>
  <c r="G169" i="3"/>
  <c r="BA171" i="3"/>
  <c r="AZ171" i="3"/>
  <c r="BL172" i="3"/>
  <c r="AZ172" i="3"/>
  <c r="G173" i="3"/>
  <c r="BA175" i="3"/>
  <c r="AZ175" i="3"/>
  <c r="BL176" i="3"/>
  <c r="AZ176" i="3"/>
  <c r="G177" i="3"/>
  <c r="BA179" i="3"/>
  <c r="BL180" i="3"/>
  <c r="AZ180" i="3"/>
  <c r="G181" i="3"/>
  <c r="BA183" i="3"/>
  <c r="AZ183" i="3"/>
  <c r="BL184" i="3"/>
  <c r="G185" i="3"/>
  <c r="BA187" i="3"/>
  <c r="AZ187" i="3"/>
  <c r="BL188" i="3"/>
  <c r="AZ188" i="3"/>
  <c r="G189" i="3"/>
  <c r="BA191" i="3"/>
  <c r="BL192" i="3"/>
  <c r="G193" i="3"/>
  <c r="BA195" i="3"/>
  <c r="AZ195" i="3"/>
  <c r="BL196" i="3"/>
  <c r="AZ196" i="3"/>
  <c r="G197" i="3"/>
  <c r="BA199" i="3"/>
  <c r="AZ199" i="3"/>
  <c r="BL200" i="3"/>
  <c r="AZ200" i="3"/>
  <c r="G201" i="3"/>
  <c r="BA203" i="3"/>
  <c r="AZ203" i="3"/>
  <c r="BL204" i="3"/>
  <c r="AZ204" i="3"/>
  <c r="AZ39" i="3"/>
  <c r="AZ51" i="3"/>
  <c r="AZ59" i="3"/>
  <c r="AZ67" i="3"/>
  <c r="AZ79" i="3"/>
  <c r="AZ83" i="3"/>
  <c r="AZ152" i="3"/>
  <c r="AZ160" i="3"/>
  <c r="AZ184" i="3"/>
  <c r="AZ192" i="3"/>
  <c r="AZ85" i="3"/>
  <c r="AZ93" i="3"/>
  <c r="AZ97"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AZ356" i="3"/>
  <c r="G357" i="3"/>
  <c r="G360" i="3"/>
  <c r="BL361" i="3"/>
  <c r="BA363" i="3"/>
  <c r="AZ363" i="3"/>
  <c r="BA364" i="3"/>
  <c r="BL364" i="3"/>
  <c r="AZ364" i="3"/>
  <c r="G365" i="3"/>
  <c r="G368" i="3"/>
  <c r="BL369" i="3"/>
  <c r="BA371" i="3"/>
  <c r="AZ371" i="3"/>
  <c r="BA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6" i="3"/>
  <c r="AZ190" i="3"/>
  <c r="AZ194" i="3"/>
  <c r="AZ198" i="3"/>
  <c r="AZ206"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303" i="3"/>
  <c r="AZ319"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AZ370" i="3"/>
  <c r="G371" i="3"/>
  <c r="BA373" i="3"/>
  <c r="AZ373" i="3"/>
  <c r="BL374" i="3"/>
  <c r="AZ374" i="3"/>
  <c r="G375" i="3"/>
  <c r="BA377" i="3"/>
  <c r="AZ377" i="3"/>
  <c r="AZ229" i="3"/>
  <c r="AZ233" i="3"/>
  <c r="AZ237" i="3"/>
  <c r="AZ245" i="3"/>
  <c r="AZ257" i="3"/>
  <c r="AZ265" i="3"/>
  <c r="AZ269" i="3"/>
  <c r="AZ273" i="3"/>
  <c r="BA379" i="3"/>
  <c r="BL380" i="3"/>
  <c r="AZ380" i="3"/>
  <c r="G381" i="3"/>
  <c r="BA383" i="3"/>
  <c r="AZ383" i="3"/>
  <c r="BL384" i="3"/>
  <c r="AZ384" i="3"/>
  <c r="G385" i="3"/>
  <c r="BA387" i="3"/>
  <c r="AZ387" i="3"/>
  <c r="BL388" i="3"/>
  <c r="AZ388" i="3"/>
  <c r="G389" i="3"/>
  <c r="BA391" i="3"/>
  <c r="AZ391" i="3"/>
  <c r="BL392" i="3"/>
  <c r="AZ392" i="3"/>
  <c r="G393" i="3"/>
  <c r="AZ263" i="3"/>
  <c r="AZ275" i="3"/>
  <c r="AZ279" i="3"/>
  <c r="AZ283" i="3"/>
  <c r="AZ287" i="3"/>
  <c r="AZ291" i="3"/>
  <c r="AZ295" i="3"/>
  <c r="AZ299" i="3"/>
  <c r="AZ309" i="3"/>
  <c r="AZ317" i="3"/>
  <c r="AZ333" i="3"/>
  <c r="AZ341" i="3"/>
  <c r="AZ549" i="3"/>
  <c r="AZ496" i="3"/>
  <c r="G548" i="3"/>
  <c r="G538" i="3"/>
  <c r="G520" i="3"/>
  <c r="G502" i="3"/>
  <c r="G17" i="3"/>
  <c r="BA17" i="3"/>
  <c r="AZ350" i="3"/>
  <c r="AZ352" i="3"/>
  <c r="AZ368" i="3"/>
  <c r="BA15" i="3"/>
  <c r="AZ15" i="3"/>
  <c r="AZ396" i="3"/>
  <c r="G509" i="3"/>
  <c r="BL493" i="3"/>
  <c r="AZ491" i="3"/>
  <c r="AZ376" i="3"/>
  <c r="AZ390" i="3"/>
  <c r="AZ493" i="3"/>
  <c r="U36" i="40"/>
  <c r="F81" i="43"/>
  <c r="H82" i="43"/>
  <c r="F70" i="43"/>
  <c r="H73" i="43"/>
  <c r="M11" i="43"/>
  <c r="F6" i="1"/>
  <c r="G6" i="1"/>
  <c r="U17" i="39"/>
  <c r="S14" i="35"/>
  <c r="U43" i="21"/>
  <c r="U35" i="21"/>
  <c r="AC35" i="21"/>
  <c r="U10" i="21"/>
  <c r="F48" i="9"/>
  <c r="O52" i="9"/>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F96" i="37"/>
  <c r="H27" i="40"/>
  <c r="U27" i="40"/>
  <c r="J27" i="40"/>
  <c r="AC27" i="40"/>
  <c r="F27" i="40"/>
  <c r="S27" i="40"/>
  <c r="J30" i="40"/>
  <c r="AC30" i="40"/>
  <c r="F30" i="40"/>
  <c r="AA30"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32" i="3"/>
  <c r="AZ235" i="3"/>
  <c r="AZ240" i="3"/>
  <c r="AZ248" i="3"/>
  <c r="AZ268" i="3"/>
  <c r="AZ271" i="3"/>
  <c r="AZ280" i="3"/>
  <c r="AZ288" i="3"/>
  <c r="AZ296" i="3"/>
  <c r="AZ114" i="3"/>
  <c r="AZ117" i="3"/>
  <c r="AZ130" i="3"/>
  <c r="AZ133" i="3"/>
  <c r="AZ21" i="3"/>
  <c r="AZ29" i="3"/>
  <c r="AZ42"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D48" i="9"/>
  <c r="M52" i="9"/>
  <c r="H86" i="43"/>
  <c r="K9" i="1"/>
  <c r="M9" i="1"/>
  <c r="AE9" i="1"/>
  <c r="K6" i="1"/>
  <c r="M6" i="1"/>
  <c r="AC26" i="33"/>
  <c r="W26" i="33"/>
  <c r="W27" i="34"/>
  <c r="AC27" i="34"/>
  <c r="AB34" i="36"/>
  <c r="U34" i="36"/>
  <c r="AB33" i="36"/>
  <c r="U33" i="36"/>
  <c r="AC12" i="39"/>
  <c r="W12" i="39"/>
  <c r="AC39" i="40"/>
  <c r="W39" i="40"/>
  <c r="AZ401" i="3"/>
  <c r="AZ417" i="3"/>
  <c r="AZ428" i="3"/>
  <c r="AZ433" i="3"/>
  <c r="AZ465" i="3"/>
  <c r="W12" i="33"/>
  <c r="AC12" i="33"/>
  <c r="AA32" i="36"/>
  <c r="S32" i="36"/>
  <c r="AZ408" i="3"/>
  <c r="AZ437" i="3"/>
  <c r="AZ441" i="3"/>
  <c r="AZ457" i="3"/>
  <c r="AZ473" i="3"/>
  <c r="AZ490" i="3"/>
  <c r="BL14" i="3"/>
  <c r="BA14" i="3"/>
  <c r="AZ14" i="3"/>
  <c r="AZ266" i="3"/>
  <c r="AC13"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T12" i="1"/>
  <c r="R12" i="1"/>
  <c r="B12" i="1"/>
  <c r="E12" i="1"/>
  <c r="S10" i="1"/>
  <c r="AR10" i="1"/>
  <c r="R10" i="1"/>
  <c r="B10" i="1"/>
  <c r="E10" i="1"/>
  <c r="AZ84" i="3"/>
  <c r="AZ88" i="3"/>
  <c r="AZ107" i="3"/>
  <c r="K12" i="1"/>
  <c r="M12" i="1"/>
  <c r="O12" i="1"/>
  <c r="P12" i="1"/>
  <c r="S13" i="1"/>
  <c r="AR13" i="1"/>
  <c r="R13" i="1"/>
  <c r="S11" i="1"/>
  <c r="AQ11" i="1"/>
  <c r="R11" i="1"/>
  <c r="S9" i="1"/>
  <c r="AR9" i="1"/>
  <c r="R9" i="1"/>
  <c r="J51" i="67"/>
  <c r="C42" i="1"/>
  <c r="H100" i="43"/>
  <c r="AC34" i="33"/>
  <c r="AA34" i="33"/>
  <c r="B41" i="1"/>
  <c r="F54" i="9"/>
  <c r="J100" i="43"/>
  <c r="AB37" i="40"/>
  <c r="S35" i="40"/>
  <c r="U35" i="40"/>
  <c r="AC36" i="40"/>
  <c r="AA32" i="40"/>
  <c r="S17" i="40"/>
  <c r="S23" i="40"/>
  <c r="AC17" i="40"/>
  <c r="AC15" i="40"/>
  <c r="AB27" i="40"/>
  <c r="S30" i="40"/>
  <c r="AA19" i="40"/>
  <c r="S28" i="40"/>
  <c r="AA27" i="40"/>
  <c r="U21" i="40"/>
  <c r="W42" i="39"/>
  <c r="U37" i="39"/>
  <c r="W39" i="39"/>
  <c r="S43" i="39"/>
  <c r="S37" i="39"/>
  <c r="U35" i="39"/>
  <c r="F32" i="39"/>
  <c r="F107" i="39"/>
  <c r="G107" i="39"/>
  <c r="H107" i="39"/>
  <c r="I107" i="39"/>
  <c r="J107" i="39"/>
  <c r="K107" i="39"/>
  <c r="L107" i="39"/>
  <c r="M107" i="39"/>
  <c r="U25" i="39"/>
  <c r="AB27" i="39"/>
  <c r="U31" i="39"/>
  <c r="S25" i="39"/>
  <c r="J21" i="39"/>
  <c r="F21" i="39"/>
  <c r="G95" i="39"/>
  <c r="H21" i="39"/>
  <c r="W19" i="39"/>
  <c r="U19" i="39"/>
  <c r="S17" i="39"/>
  <c r="AC15" i="39"/>
  <c r="S15" i="39"/>
  <c r="AB15" i="39"/>
  <c r="AA12" i="39"/>
  <c r="S9" i="39"/>
  <c r="AC13" i="39"/>
  <c r="U12" i="39"/>
  <c r="S2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U29" i="35"/>
  <c r="U28" i="35"/>
  <c r="AB27" i="35"/>
  <c r="U36" i="35"/>
  <c r="U32" i="35"/>
  <c r="AA33" i="35"/>
  <c r="AC30" i="35"/>
  <c r="S32" i="35"/>
  <c r="AA36" i="35"/>
  <c r="W32" i="35"/>
  <c r="S28" i="35"/>
  <c r="AB16" i="35"/>
  <c r="U22" i="35"/>
  <c r="S20" i="35"/>
  <c r="AC20" i="35"/>
  <c r="S22" i="35"/>
  <c r="AC10" i="35"/>
  <c r="AA10" i="35"/>
  <c r="AB10" i="35"/>
  <c r="S8" i="35"/>
  <c r="AC9" i="35"/>
  <c r="W9" i="35"/>
  <c r="AC12" i="35"/>
  <c r="W13" i="35"/>
  <c r="F9" i="35"/>
  <c r="S9" i="35"/>
  <c r="H9" i="35"/>
  <c r="F26" i="35"/>
  <c r="AA26" i="35"/>
  <c r="J26" i="35"/>
  <c r="W26" i="35"/>
  <c r="H26" i="35"/>
  <c r="AB40" i="37"/>
  <c r="S25" i="37"/>
  <c r="W27" i="37"/>
  <c r="S26" i="37"/>
  <c r="AC29" i="37"/>
  <c r="U29" i="37"/>
  <c r="S32" i="37"/>
  <c r="AB31" i="37"/>
  <c r="W30" i="37"/>
  <c r="S36" i="37"/>
  <c r="AA38" i="37"/>
  <c r="W38" i="37"/>
  <c r="AC35" i="37"/>
  <c r="S30" i="37"/>
  <c r="S37" i="37"/>
  <c r="AC15" i="37"/>
  <c r="J17" i="37"/>
  <c r="W17" i="37"/>
  <c r="G73" i="37"/>
  <c r="F17" i="37"/>
  <c r="AA17" i="37"/>
  <c r="AB17" i="37"/>
  <c r="F75" i="37"/>
  <c r="G75" i="37"/>
  <c r="F19" i="37"/>
  <c r="F79" i="37"/>
  <c r="F23" i="37"/>
  <c r="S23" i="37"/>
  <c r="U23" i="37"/>
  <c r="U15" i="37"/>
  <c r="AC13" i="37"/>
  <c r="U9" i="37"/>
  <c r="AA13" i="37"/>
  <c r="AA12" i="37"/>
  <c r="H10" i="37"/>
  <c r="H60" i="37"/>
  <c r="F63" i="37"/>
  <c r="F11" i="37"/>
  <c r="S11" i="37"/>
  <c r="S27" i="34"/>
  <c r="W25" i="34"/>
  <c r="AB8" i="34"/>
  <c r="AA33" i="34"/>
  <c r="U44" i="34"/>
  <c r="U43" i="34"/>
  <c r="AC39" i="34"/>
  <c r="W41" i="34"/>
  <c r="AC42" i="34"/>
  <c r="AB35" i="34"/>
  <c r="U39" i="34"/>
  <c r="S43" i="34"/>
  <c r="AB41" i="34"/>
  <c r="AA45" i="34"/>
  <c r="W34" i="34"/>
  <c r="AA25" i="34"/>
  <c r="U28" i="34"/>
  <c r="AA29" i="34"/>
  <c r="U27" i="34"/>
  <c r="S23" i="34"/>
  <c r="S10" i="34"/>
  <c r="S13" i="34"/>
  <c r="H67" i="34"/>
  <c r="H10" i="34"/>
  <c r="F11" i="34"/>
  <c r="S11" i="34"/>
  <c r="F70" i="34"/>
  <c r="G70" i="34"/>
  <c r="W42" i="33"/>
  <c r="AA35" i="33"/>
  <c r="S27" i="33"/>
  <c r="S32" i="33"/>
  <c r="AA29" i="33"/>
  <c r="W38" i="33"/>
  <c r="H41" i="33"/>
  <c r="F121" i="33"/>
  <c r="G121" i="33"/>
  <c r="H121" i="33"/>
  <c r="I121" i="33"/>
  <c r="J121" i="33"/>
  <c r="K121" i="33"/>
  <c r="L121" i="33"/>
  <c r="M121" i="33"/>
  <c r="U42" i="33"/>
  <c r="S42" i="33"/>
  <c r="F36" i="33"/>
  <c r="S36" i="33"/>
  <c r="G111" i="33"/>
  <c r="G108" i="33"/>
  <c r="H108" i="33"/>
  <c r="I108" i="33"/>
  <c r="J108" i="33"/>
  <c r="K108" i="33"/>
  <c r="L108" i="33"/>
  <c r="M108" i="33"/>
  <c r="J35" i="33"/>
  <c r="S37" i="33"/>
  <c r="AA37" i="33"/>
  <c r="F101" i="33"/>
  <c r="G101" i="33"/>
  <c r="H101" i="33"/>
  <c r="I101" i="33"/>
  <c r="J101" i="33"/>
  <c r="K101" i="33"/>
  <c r="L101" i="33"/>
  <c r="M101" i="33"/>
  <c r="J32" i="33"/>
  <c r="S46" i="33"/>
  <c r="W43" i="33"/>
  <c r="F91" i="33"/>
  <c r="H27" i="33"/>
  <c r="U27" i="33"/>
  <c r="F87" i="33"/>
  <c r="H25" i="33"/>
  <c r="U25" i="33"/>
  <c r="F25" i="33"/>
  <c r="J23" i="33"/>
  <c r="AC23" i="33"/>
  <c r="F85" i="33"/>
  <c r="H23" i="33"/>
  <c r="AB23" i="33"/>
  <c r="F81" i="33"/>
  <c r="F19" i="33"/>
  <c r="W19" i="33"/>
  <c r="J17" i="33"/>
  <c r="W17" i="33"/>
  <c r="F79" i="33"/>
  <c r="S15" i="33"/>
  <c r="W15" i="33"/>
  <c r="U9" i="33"/>
  <c r="I66" i="33"/>
  <c r="J10" i="33"/>
  <c r="H10" i="33"/>
  <c r="AA10" i="33"/>
  <c r="AC11" i="33"/>
  <c r="W43" i="21"/>
  <c r="W36" i="21"/>
  <c r="W41" i="21"/>
  <c r="AB39" i="21"/>
  <c r="AA43" i="21"/>
  <c r="S39" i="21"/>
  <c r="AA38" i="21"/>
  <c r="AA36" i="21"/>
  <c r="AC40" i="21"/>
  <c r="J15" i="21"/>
  <c r="W15" i="21"/>
  <c r="F77" i="21"/>
  <c r="G77" i="21"/>
  <c r="F23" i="21"/>
  <c r="S23" i="21"/>
  <c r="E85" i="21"/>
  <c r="AC11" i="21"/>
  <c r="AA14" i="21"/>
  <c r="AB8" i="21"/>
  <c r="S8" i="21"/>
  <c r="M1" i="43"/>
  <c r="N8" i="43"/>
  <c r="D120" i="9"/>
  <c r="F34" i="67"/>
  <c r="M20" i="67"/>
  <c r="F34" i="15"/>
  <c r="F62" i="15"/>
  <c r="G13" i="3"/>
  <c r="BL17" i="3"/>
  <c r="AZ17" i="3"/>
  <c r="J56" i="9"/>
  <c r="J57" i="9"/>
  <c r="J59" i="9"/>
  <c r="J61" i="9"/>
  <c r="U29" i="34"/>
  <c r="E5" i="6"/>
  <c r="D9" i="68"/>
  <c r="E32" i="6"/>
  <c r="L19" i="6"/>
  <c r="G1" i="68"/>
  <c r="K1" i="12"/>
  <c r="AQ12" i="1"/>
  <c r="E19" i="69"/>
  <c r="E19" i="68"/>
  <c r="E19" i="11"/>
  <c r="C100" i="43"/>
  <c r="E8" i="43"/>
  <c r="E81" i="43"/>
  <c r="B79" i="43"/>
  <c r="E70" i="43"/>
  <c r="B68" i="43"/>
  <c r="F100" i="43"/>
  <c r="D9" i="53"/>
  <c r="B25" i="72"/>
  <c r="B24" i="72"/>
  <c r="H85" i="43"/>
  <c r="H88" i="43"/>
  <c r="N6" i="43"/>
  <c r="N3" i="43"/>
  <c r="M12" i="43"/>
  <c r="B19" i="53"/>
  <c r="B37" i="72"/>
  <c r="C7" i="39"/>
  <c r="C68" i="39"/>
  <c r="D68" i="39"/>
  <c r="C7" i="35"/>
  <c r="C48" i="35"/>
  <c r="D48" i="35"/>
  <c r="E48" i="35"/>
  <c r="F48" i="35"/>
  <c r="C7" i="33"/>
  <c r="C58" i="33"/>
  <c r="D58" i="33"/>
  <c r="E58" i="33"/>
  <c r="F58" i="33"/>
  <c r="G58" i="33"/>
  <c r="H58" i="33"/>
  <c r="I58" i="33"/>
  <c r="J58" i="33"/>
  <c r="K58" i="33"/>
  <c r="C7" i="21"/>
  <c r="C58" i="21"/>
  <c r="D58" i="21"/>
  <c r="E58" i="21"/>
  <c r="F58" i="21"/>
  <c r="C7" i="40"/>
  <c r="C63" i="40"/>
  <c r="D63" i="40"/>
  <c r="M47" i="9"/>
  <c r="G19" i="43"/>
  <c r="T35" i="4"/>
  <c r="A19" i="51"/>
  <c r="B14" i="72"/>
  <c r="C46" i="36"/>
  <c r="D46" i="36"/>
  <c r="C4" i="12"/>
  <c r="L20" i="6"/>
  <c r="S8" i="1"/>
  <c r="T8" i="1"/>
  <c r="K11" i="1"/>
  <c r="M11" i="1"/>
  <c r="O11" i="1"/>
  <c r="AP6" i="1"/>
  <c r="B9" i="1"/>
  <c r="E9" i="1"/>
  <c r="K7" i="1"/>
  <c r="M7" i="1"/>
  <c r="W23" i="40"/>
  <c r="U32" i="40"/>
  <c r="AB31" i="40"/>
  <c r="S37" i="40"/>
  <c r="AB28" i="40"/>
  <c r="W28" i="40"/>
  <c r="W34" i="40"/>
  <c r="W19" i="40"/>
  <c r="W27" i="40"/>
  <c r="S36" i="40"/>
  <c r="W37" i="40"/>
  <c r="S13" i="40"/>
  <c r="S33" i="40"/>
  <c r="AA15" i="40"/>
  <c r="U11" i="40"/>
  <c r="S31" i="40"/>
  <c r="AB13" i="40"/>
  <c r="U15" i="40"/>
  <c r="AB17" i="40"/>
  <c r="U8" i="40"/>
  <c r="S8" i="40"/>
  <c r="AA39" i="39"/>
  <c r="AC41" i="39"/>
  <c r="U42" i="39"/>
  <c r="U41" i="39"/>
  <c r="AB41" i="39"/>
  <c r="W25" i="39"/>
  <c r="AC25" i="39"/>
  <c r="U13" i="39"/>
  <c r="AB13" i="39"/>
  <c r="AA13" i="39"/>
  <c r="S13" i="39"/>
  <c r="U43" i="39"/>
  <c r="AB43" i="39"/>
  <c r="AB11" i="39"/>
  <c r="U11" i="39"/>
  <c r="AA27" i="39"/>
  <c r="S27" i="39"/>
  <c r="W17" i="39"/>
  <c r="AC17" i="39"/>
  <c r="W31" i="39"/>
  <c r="AC31" i="39"/>
  <c r="S23" i="39"/>
  <c r="AA45" i="39"/>
  <c r="AB39" i="39"/>
  <c r="W34" i="39"/>
  <c r="U38" i="39"/>
  <c r="S8" i="39"/>
  <c r="S20" i="36"/>
  <c r="AC25" i="36"/>
  <c r="S28" i="36"/>
  <c r="W29" i="36"/>
  <c r="AC20" i="36"/>
  <c r="U25" i="36"/>
  <c r="AB28" i="36"/>
  <c r="AA13" i="36"/>
  <c r="W9" i="36"/>
  <c r="W22" i="36"/>
  <c r="W23" i="36"/>
  <c r="AB20" i="35"/>
  <c r="AC25" i="35"/>
  <c r="U25" i="35"/>
  <c r="S24" i="35"/>
  <c r="W33" i="35"/>
  <c r="U24" i="35"/>
  <c r="AA16" i="35"/>
  <c r="AA35"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S28" i="33"/>
  <c r="W9" i="33"/>
  <c r="W8" i="33"/>
  <c r="AB42" i="21"/>
  <c r="U28" i="21"/>
  <c r="AA11" i="21"/>
  <c r="I101" i="21"/>
  <c r="J101" i="21"/>
  <c r="K101" i="21"/>
  <c r="L101" i="21"/>
  <c r="M101" i="21"/>
  <c r="F33" i="21"/>
  <c r="J33" i="21"/>
  <c r="W33" i="21"/>
  <c r="H33" i="21"/>
  <c r="AB33" i="21"/>
  <c r="F37" i="21"/>
  <c r="S37" i="21"/>
  <c r="AA37" i="21"/>
  <c r="AA26" i="21"/>
  <c r="AB14" i="21"/>
  <c r="AB46" i="21"/>
  <c r="U40" i="21"/>
  <c r="AC15" i="21"/>
  <c r="U13" i="21"/>
  <c r="W8" i="21"/>
  <c r="S35" i="21"/>
  <c r="AB37" i="21"/>
  <c r="J37" i="21"/>
  <c r="W37" i="21"/>
  <c r="H15" i="21"/>
  <c r="U15" i="21"/>
  <c r="J17" i="21"/>
  <c r="AC17" i="21"/>
  <c r="AC19" i="21"/>
  <c r="W39" i="21"/>
  <c r="AC14" i="21"/>
  <c r="W30" i="21"/>
  <c r="S46" i="21"/>
  <c r="H45" i="21"/>
  <c r="F29" i="21"/>
  <c r="S29" i="21"/>
  <c r="F13" i="21"/>
  <c r="AA13" i="21"/>
  <c r="AC38" i="21"/>
  <c r="H32" i="21"/>
  <c r="U32" i="21"/>
  <c r="H9" i="21"/>
  <c r="J9" i="21"/>
  <c r="J32" i="21"/>
  <c r="F32" i="21"/>
  <c r="S32" i="21"/>
  <c r="AA31" i="21"/>
  <c r="U17" i="21"/>
  <c r="W29" i="21"/>
  <c r="S19" i="21"/>
  <c r="S9" i="21"/>
  <c r="AA9" i="21"/>
  <c r="K141" i="21"/>
  <c r="K144" i="21"/>
  <c r="K143" i="21"/>
  <c r="U27" i="21"/>
  <c r="AB25" i="21"/>
  <c r="AA30" i="21"/>
  <c r="W13" i="21"/>
  <c r="W42" i="21"/>
  <c r="F10" i="21"/>
  <c r="S10" i="21"/>
  <c r="K145" i="21"/>
  <c r="W17" i="21"/>
  <c r="W25" i="21"/>
  <c r="AA29"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F30" i="68"/>
  <c r="S7" i="1"/>
  <c r="AQ7" i="1"/>
  <c r="E7" i="70"/>
  <c r="AA39" i="40"/>
  <c r="S39" i="40"/>
  <c r="S12" i="33"/>
  <c r="AA12" i="33"/>
  <c r="J32" i="39"/>
  <c r="H32" i="39"/>
  <c r="AB32" i="39"/>
  <c r="AA32" i="39"/>
  <c r="S32" i="39"/>
  <c r="AA21" i="39"/>
  <c r="S21" i="39"/>
  <c r="AC21" i="39"/>
  <c r="W21" i="39"/>
  <c r="S26" i="35"/>
  <c r="U9" i="35"/>
  <c r="AB9" i="35"/>
  <c r="AA9" i="35"/>
  <c r="AC26" i="35"/>
  <c r="AB26" i="35"/>
  <c r="U26" i="35"/>
  <c r="AC17" i="37"/>
  <c r="S17" i="37"/>
  <c r="J19" i="37"/>
  <c r="AC19" i="37"/>
  <c r="S19" i="37"/>
  <c r="AA19" i="37"/>
  <c r="AA23" i="37"/>
  <c r="J23" i="37"/>
  <c r="G79" i="37"/>
  <c r="J10" i="37"/>
  <c r="W10" i="37"/>
  <c r="I60" i="37"/>
  <c r="G63" i="37"/>
  <c r="H11" i="37"/>
  <c r="U11" i="37"/>
  <c r="AB10" i="37"/>
  <c r="U10" i="37"/>
  <c r="H11" i="34"/>
  <c r="AB10" i="34"/>
  <c r="U10" i="34"/>
  <c r="J10" i="34"/>
  <c r="I67" i="34"/>
  <c r="AB41" i="33"/>
  <c r="U41" i="33"/>
  <c r="W35" i="33"/>
  <c r="AC35" i="33"/>
  <c r="H111" i="33"/>
  <c r="I111" i="33"/>
  <c r="J111" i="33"/>
  <c r="K111" i="33"/>
  <c r="L111" i="33"/>
  <c r="M111" i="33"/>
  <c r="J36" i="33"/>
  <c r="H36" i="33"/>
  <c r="AB36" i="33"/>
  <c r="AA36" i="33"/>
  <c r="AC32" i="33"/>
  <c r="W32" i="33"/>
  <c r="AB27" i="33"/>
  <c r="G91" i="33"/>
  <c r="H91" i="33"/>
  <c r="I91" i="33"/>
  <c r="J91" i="33"/>
  <c r="K91" i="33"/>
  <c r="L91" i="33"/>
  <c r="M91" i="33"/>
  <c r="J27" i="33"/>
  <c r="AC27" i="33"/>
  <c r="AB25" i="33"/>
  <c r="S25" i="33"/>
  <c r="AA25" i="33"/>
  <c r="G87" i="33"/>
  <c r="H87" i="33"/>
  <c r="I87" i="33"/>
  <c r="J87" i="33"/>
  <c r="K87" i="33"/>
  <c r="L87" i="33"/>
  <c r="M87" i="33"/>
  <c r="J25" i="33"/>
  <c r="U23" i="33"/>
  <c r="F23" i="33"/>
  <c r="G85" i="33"/>
  <c r="W23" i="33"/>
  <c r="H19" i="33"/>
  <c r="U19" i="33"/>
  <c r="G81" i="33"/>
  <c r="G79" i="33"/>
  <c r="H17" i="33"/>
  <c r="AB17" i="33"/>
  <c r="F17" i="33"/>
  <c r="AC17" i="33"/>
  <c r="U10" i="33"/>
  <c r="AB10" i="33"/>
  <c r="AC10" i="33"/>
  <c r="W10" i="33"/>
  <c r="AC37" i="21"/>
  <c r="U33" i="21"/>
  <c r="AA23" i="21"/>
  <c r="AB15" i="21"/>
  <c r="J23" i="21"/>
  <c r="W23" i="21"/>
  <c r="F85" i="21"/>
  <c r="G85" i="21"/>
  <c r="H23" i="21"/>
  <c r="AB23" i="21"/>
  <c r="S13" i="21"/>
  <c r="D6" i="52"/>
  <c r="D121" i="9"/>
  <c r="D7" i="52"/>
  <c r="AP7" i="1"/>
  <c r="AC33" i="21"/>
  <c r="S33" i="21"/>
  <c r="AA33" i="21"/>
  <c r="AB9" i="21"/>
  <c r="U9" i="21"/>
  <c r="AA32" i="21"/>
  <c r="W9" i="21"/>
  <c r="AC9" i="21"/>
  <c r="AB32" i="21"/>
  <c r="U32" i="39"/>
  <c r="AC32" i="39"/>
  <c r="W32" i="39"/>
  <c r="W19" i="37"/>
  <c r="W23" i="37"/>
  <c r="AC23" i="37"/>
  <c r="AB11" i="37"/>
  <c r="H63" i="37"/>
  <c r="I63" i="37"/>
  <c r="J63" i="37"/>
  <c r="K63" i="37"/>
  <c r="L63" i="37"/>
  <c r="M63" i="37"/>
  <c r="J11" i="37"/>
  <c r="AC11" i="37"/>
  <c r="AC10" i="37"/>
  <c r="U11" i="34"/>
  <c r="AB11" i="34"/>
  <c r="AC10" i="34"/>
  <c r="W10" i="34"/>
  <c r="H70" i="34"/>
  <c r="I70" i="34"/>
  <c r="J70" i="34"/>
  <c r="K70" i="34"/>
  <c r="L70" i="34"/>
  <c r="M70" i="34"/>
  <c r="J11" i="34"/>
  <c r="AC36" i="33"/>
  <c r="W36" i="33"/>
  <c r="U36" i="33"/>
  <c r="W27" i="33"/>
  <c r="AA23" i="33"/>
  <c r="S23" i="33"/>
  <c r="AB19" i="33"/>
  <c r="AA17" i="33"/>
  <c r="S17" i="33"/>
  <c r="U17" i="33"/>
  <c r="U23" i="21"/>
  <c r="AC23" i="21"/>
  <c r="W11" i="37"/>
  <c r="W11" i="34"/>
  <c r="AC11" i="34"/>
  <c r="R7" i="1"/>
  <c r="R8" i="1"/>
  <c r="AE7" i="1"/>
  <c r="AE8" i="1"/>
  <c r="AG6" i="1"/>
  <c r="H109" i="9"/>
  <c r="D124" i="9"/>
  <c r="D125" i="9"/>
  <c r="D11" i="52"/>
  <c r="H112" i="9"/>
  <c r="D21" i="53"/>
  <c r="B39" i="72"/>
  <c r="D59" i="9"/>
  <c r="M55" i="9"/>
  <c r="AD3" i="71"/>
  <c r="C65" i="40"/>
  <c r="C13" i="12"/>
  <c r="M4" i="43"/>
  <c r="N11" i="43"/>
  <c r="M10" i="43"/>
  <c r="N9" i="43"/>
  <c r="M8" i="43"/>
  <c r="N7" i="43"/>
  <c r="N4" i="43"/>
  <c r="C11" i="71"/>
  <c r="D11" i="71"/>
  <c r="D12" i="71"/>
  <c r="D13" i="71"/>
  <c r="U13" i="71"/>
  <c r="S13" i="71"/>
  <c r="T13" i="71"/>
  <c r="AB11" i="71"/>
  <c r="X9" i="71"/>
  <c r="X8" i="71"/>
  <c r="AA9" i="71"/>
  <c r="AA8" i="71"/>
  <c r="X12" i="71"/>
  <c r="Y8" i="71"/>
  <c r="Z8" i="71"/>
  <c r="AB9" i="71"/>
  <c r="AB8" i="71"/>
  <c r="F10" i="71"/>
  <c r="F9" i="71"/>
  <c r="F8" i="71"/>
  <c r="F7" i="71"/>
  <c r="F6" i="71"/>
  <c r="F5" i="71"/>
  <c r="Y9" i="71"/>
  <c r="Z9" i="71"/>
  <c r="AB3" i="71"/>
  <c r="X3" i="71"/>
  <c r="C10" i="71"/>
  <c r="C9" i="71"/>
  <c r="E10" i="71"/>
  <c r="E9" i="71"/>
  <c r="E8" i="71"/>
  <c r="E7" i="71"/>
  <c r="E6" i="71"/>
  <c r="E5" i="71"/>
  <c r="AF3" i="71"/>
  <c r="P21" i="43"/>
  <c r="V9" i="71"/>
  <c r="P23" i="43"/>
  <c r="B71" i="39"/>
  <c r="P25" i="43"/>
  <c r="T9" i="71"/>
  <c r="F31" i="67"/>
  <c r="F31" i="15"/>
  <c r="E12" i="76"/>
  <c r="M27" i="15"/>
  <c r="E13" i="76"/>
  <c r="B13" i="76"/>
  <c r="E8" i="76"/>
  <c r="F40" i="15"/>
  <c r="M26" i="15"/>
  <c r="F4" i="73"/>
  <c r="F20" i="31"/>
  <c r="D2" i="34"/>
  <c r="D2" i="33"/>
  <c r="B12" i="76"/>
  <c r="F7" i="73"/>
  <c r="F38" i="15"/>
  <c r="E2" i="69"/>
  <c r="AO7" i="1"/>
  <c r="B7" i="76"/>
  <c r="D2" i="21"/>
  <c r="E11" i="76"/>
  <c r="F5" i="73"/>
  <c r="E2" i="68"/>
  <c r="M24" i="15"/>
  <c r="F8" i="15"/>
  <c r="C76" i="15"/>
  <c r="F26" i="15"/>
  <c r="B9" i="76"/>
  <c r="J15" i="15"/>
  <c r="AO13" i="1"/>
  <c r="L48" i="15"/>
  <c r="L47" i="15"/>
  <c r="F7" i="15"/>
  <c r="M8" i="15"/>
  <c r="B10" i="76"/>
  <c r="AO11" i="1"/>
  <c r="M23" i="15"/>
  <c r="F6" i="73"/>
  <c r="E9" i="76"/>
  <c r="E7" i="76"/>
  <c r="F3" i="73"/>
  <c r="F37" i="15"/>
  <c r="F36" i="15"/>
  <c r="M22" i="15"/>
  <c r="M29" i="15"/>
  <c r="AO10" i="1"/>
  <c r="F13" i="15"/>
  <c r="M28" i="15"/>
  <c r="M6" i="15"/>
  <c r="F42" i="15"/>
  <c r="D2" i="37"/>
  <c r="F9" i="15"/>
  <c r="E10" i="76"/>
  <c r="M9" i="15"/>
  <c r="B11" i="76"/>
  <c r="F16" i="15"/>
  <c r="D2" i="35"/>
  <c r="B8" i="76"/>
  <c r="AO8" i="1"/>
  <c r="F43" i="15"/>
  <c r="AO9" i="1"/>
  <c r="AO12" i="1"/>
  <c r="D2" i="36"/>
  <c r="L21" i="1"/>
  <c r="L22" i="1"/>
  <c r="K56" i="9"/>
  <c r="A15" i="62"/>
  <c r="B61" i="72"/>
  <c r="N2" i="43"/>
  <c r="N10" i="43"/>
  <c r="M2" i="43"/>
  <c r="C6" i="43"/>
  <c r="M5" i="43"/>
  <c r="M9" i="43"/>
  <c r="M6" i="43"/>
  <c r="M7" i="43"/>
  <c r="N12" i="43"/>
  <c r="N5" i="43"/>
  <c r="C18" i="9"/>
  <c r="D18" i="9"/>
  <c r="C51" i="10"/>
  <c r="A13" i="51"/>
  <c r="B11" i="72"/>
  <c r="L17" i="43"/>
  <c r="H65" i="43"/>
  <c r="X7" i="43"/>
  <c r="H76" i="43"/>
  <c r="H63" i="43"/>
  <c r="K17" i="43"/>
  <c r="H17" i="43"/>
  <c r="H83" i="43"/>
  <c r="F35" i="43"/>
  <c r="E11" i="43"/>
  <c r="E9" i="43"/>
  <c r="F33" i="43"/>
  <c r="I17" i="43"/>
  <c r="H74" i="43"/>
  <c r="O17" i="43"/>
  <c r="H78" i="43"/>
  <c r="E17" i="43"/>
  <c r="N17" i="43"/>
  <c r="H70" i="43"/>
  <c r="H61" i="43"/>
  <c r="H77" i="43"/>
  <c r="H72" i="43"/>
  <c r="F37" i="43"/>
  <c r="C17" i="43"/>
  <c r="H84" i="43"/>
  <c r="H87" i="43"/>
  <c r="H75" i="43"/>
  <c r="F39" i="43"/>
  <c r="F48" i="43"/>
  <c r="H52" i="43"/>
  <c r="F36" i="43"/>
  <c r="M17" i="43"/>
  <c r="F38" i="43"/>
  <c r="F34" i="43"/>
  <c r="H71" i="43"/>
  <c r="H81" i="43"/>
  <c r="J17" i="43"/>
  <c r="D17" i="43"/>
  <c r="C92" i="9"/>
  <c r="C77" i="9"/>
  <c r="D93" i="9"/>
  <c r="C5" i="11"/>
  <c r="F34" i="68"/>
  <c r="C36" i="68"/>
  <c r="F11" i="12"/>
  <c r="C23" i="12"/>
  <c r="D23" i="15"/>
  <c r="G41" i="11"/>
  <c r="D23" i="67"/>
  <c r="G41" i="68"/>
  <c r="G22" i="69"/>
  <c r="G25" i="12"/>
  <c r="G27" i="12"/>
  <c r="G41" i="69"/>
  <c r="G26" i="12"/>
  <c r="G22" i="11"/>
  <c r="G22" i="68"/>
  <c r="G1" i="67"/>
  <c r="B6" i="1"/>
  <c r="E6" i="1"/>
  <c r="T10" i="1"/>
  <c r="AR7" i="1"/>
  <c r="T13" i="1"/>
  <c r="F101" i="43"/>
  <c r="F102" i="43"/>
  <c r="J101" i="43"/>
  <c r="J104" i="43"/>
  <c r="G22" i="43"/>
  <c r="AQ13" i="1"/>
  <c r="BA13" i="3"/>
  <c r="AQ10" i="1"/>
  <c r="C36" i="69"/>
  <c r="L27" i="6"/>
  <c r="AR12" i="1"/>
  <c r="H22" i="43"/>
  <c r="P13" i="1"/>
  <c r="T7" i="1"/>
  <c r="AR11" i="1"/>
  <c r="P10" i="1"/>
  <c r="K101" i="43"/>
  <c r="K106" i="43"/>
  <c r="E22" i="43"/>
  <c r="AQ8" i="1"/>
  <c r="T11" i="1"/>
  <c r="F106" i="43"/>
  <c r="J22" i="43"/>
  <c r="Y11" i="43"/>
  <c r="Y13" i="43"/>
  <c r="AC11" i="43"/>
  <c r="AC13" i="43"/>
  <c r="AG11" i="43"/>
  <c r="AG13" i="43"/>
  <c r="Z7" i="43"/>
  <c r="AB11" i="43"/>
  <c r="AB13" i="43"/>
  <c r="AF11" i="43"/>
  <c r="AF13" i="43"/>
  <c r="AJ11" i="43"/>
  <c r="AJ13" i="43"/>
  <c r="E101" i="43"/>
  <c r="D101" i="43"/>
  <c r="C101" i="43"/>
  <c r="N101" i="43"/>
  <c r="N103" i="43"/>
  <c r="B113" i="43"/>
  <c r="I101" i="43"/>
  <c r="H101" i="43"/>
  <c r="N104" i="46"/>
  <c r="F22" i="43"/>
  <c r="AA11" i="43"/>
  <c r="AA13" i="43"/>
  <c r="AE11" i="43"/>
  <c r="AE13" i="43"/>
  <c r="AI11" i="43"/>
  <c r="AI13" i="43"/>
  <c r="Z11" i="43"/>
  <c r="Z13" i="43"/>
  <c r="AD11" i="43"/>
  <c r="AD13" i="43"/>
  <c r="AH11" i="43"/>
  <c r="AH13" i="43"/>
  <c r="M101" i="43"/>
  <c r="L101" i="43"/>
  <c r="L106" i="43"/>
  <c r="G101" i="43"/>
  <c r="G8" i="1"/>
  <c r="G13" i="1"/>
  <c r="G9" i="1"/>
  <c r="G12" i="1"/>
  <c r="G16" i="1"/>
  <c r="A2" i="9"/>
  <c r="H111" i="9"/>
  <c r="B10" i="49"/>
  <c r="E13" i="49"/>
  <c r="K120" i="9"/>
  <c r="A18" i="62"/>
  <c r="B64" i="72"/>
  <c r="B6" i="49"/>
  <c r="B8" i="49"/>
  <c r="D70" i="39"/>
  <c r="E68" i="39"/>
  <c r="B4" i="49"/>
  <c r="E8" i="49"/>
  <c r="E9" i="49"/>
  <c r="B22" i="49"/>
  <c r="E6" i="49"/>
  <c r="E7" i="49"/>
  <c r="E11" i="49"/>
  <c r="B11" i="49"/>
  <c r="E4" i="49"/>
  <c r="B13" i="49"/>
  <c r="E4" i="4"/>
  <c r="B5" i="62"/>
  <c r="E10" i="49"/>
  <c r="C24" i="12"/>
  <c r="C70" i="39"/>
  <c r="C74" i="9"/>
  <c r="B7" i="49"/>
  <c r="E22" i="49"/>
  <c r="E21" i="49"/>
  <c r="B14" i="49"/>
  <c r="B9" i="49"/>
  <c r="C4" i="4"/>
  <c r="B4" i="62"/>
  <c r="C48" i="68"/>
  <c r="C30" i="68"/>
  <c r="J1" i="73"/>
  <c r="B11" i="70"/>
  <c r="L58" i="15"/>
  <c r="L59" i="15"/>
  <c r="N59" i="15"/>
  <c r="M59" i="15"/>
  <c r="F66" i="15"/>
  <c r="F64" i="15"/>
  <c r="J53" i="15"/>
  <c r="L56" i="15"/>
  <c r="J57" i="15"/>
  <c r="J55" i="15"/>
  <c r="J58" i="15"/>
  <c r="Q50" i="15"/>
  <c r="I54" i="15"/>
  <c r="C27" i="15"/>
  <c r="B9" i="70"/>
  <c r="B8" i="70"/>
  <c r="F68" i="15"/>
  <c r="B10" i="70"/>
  <c r="F65" i="15"/>
  <c r="B13" i="70"/>
  <c r="Q71" i="15"/>
  <c r="I1" i="73"/>
  <c r="B39" i="1"/>
  <c r="M7" i="15"/>
  <c r="J6" i="15"/>
  <c r="F50" i="15"/>
  <c r="F51" i="15"/>
  <c r="B12" i="70"/>
  <c r="F71" i="15"/>
  <c r="B7" i="70"/>
  <c r="AA39" i="33"/>
  <c r="S39" i="33"/>
  <c r="W28" i="33"/>
  <c r="AC28" i="33"/>
  <c r="F35" i="35"/>
  <c r="H35" i="35"/>
  <c r="J35" i="35"/>
  <c r="AA12" i="36"/>
  <c r="S12" i="36"/>
  <c r="BL561" i="3"/>
  <c r="BA561" i="3"/>
  <c r="AZ561" i="3"/>
  <c r="BA559" i="3"/>
  <c r="AZ559" i="3"/>
  <c r="BL558" i="3"/>
  <c r="BA558" i="3"/>
  <c r="AZ558" i="3"/>
  <c r="BL548" i="3"/>
  <c r="BL546" i="3"/>
  <c r="BN5" i="3"/>
  <c r="BA546" i="3"/>
  <c r="AZ546" i="3"/>
  <c r="BA544" i="3"/>
  <c r="BL544" i="3"/>
  <c r="AZ544" i="3"/>
  <c r="G544" i="3"/>
  <c r="H5" i="3"/>
  <c r="BA543" i="3"/>
  <c r="AZ543" i="3"/>
  <c r="BL542" i="3"/>
  <c r="BP5" i="3"/>
  <c r="H59" i="34"/>
  <c r="I59" i="34"/>
  <c r="J59" i="34"/>
  <c r="K59" i="34"/>
  <c r="L59" i="34"/>
  <c r="M59" i="34"/>
  <c r="N59" i="34"/>
  <c r="O59" i="34"/>
  <c r="W36" i="37"/>
  <c r="AA30" i="35"/>
  <c r="L58" i="33"/>
  <c r="E70" i="39"/>
  <c r="F68" i="39"/>
  <c r="W21" i="40"/>
  <c r="AC21" i="40"/>
  <c r="AB12" i="21"/>
  <c r="U12" i="21"/>
  <c r="BA548" i="3"/>
  <c r="AZ548" i="3"/>
  <c r="BR5" i="3"/>
  <c r="BL545" i="3"/>
  <c r="AZ545" i="3"/>
  <c r="BT5" i="3"/>
  <c r="BA542" i="3"/>
  <c r="AZ542" i="3"/>
  <c r="G58" i="21"/>
  <c r="H58" i="21"/>
  <c r="I58" i="21"/>
  <c r="J58" i="21"/>
  <c r="K58" i="21"/>
  <c r="L58" i="21"/>
  <c r="M58" i="21"/>
  <c r="N58" i="21"/>
  <c r="O58" i="21"/>
  <c r="C36" i="11"/>
  <c r="W24" i="35"/>
  <c r="AB21" i="39"/>
  <c r="U21" i="39"/>
  <c r="O6" i="1"/>
  <c r="P6" i="1"/>
  <c r="U45" i="21"/>
  <c r="AB45" i="21"/>
  <c r="U12" i="37"/>
  <c r="AB12" i="37"/>
  <c r="W14" i="40"/>
  <c r="AC14" i="40"/>
  <c r="AC8" i="34"/>
  <c r="W8" i="34"/>
  <c r="BL560" i="3"/>
  <c r="BA560" i="3"/>
  <c r="BL547" i="3"/>
  <c r="BA547" i="3"/>
  <c r="G48" i="35"/>
  <c r="O7" i="1"/>
  <c r="P7" i="1"/>
  <c r="C8" i="71"/>
  <c r="D9" i="71"/>
  <c r="D10" i="71"/>
  <c r="U9" i="71"/>
  <c r="D65" i="40"/>
  <c r="E63" i="40"/>
  <c r="H14" i="74"/>
  <c r="B7" i="74"/>
  <c r="D10" i="52"/>
  <c r="C9" i="68"/>
  <c r="E46" i="36"/>
  <c r="D9" i="11"/>
  <c r="C9" i="11"/>
  <c r="D19" i="12"/>
  <c r="C19" i="12"/>
  <c r="D9" i="69"/>
  <c r="U44" i="21"/>
  <c r="AB44" i="21"/>
  <c r="AC25" i="33"/>
  <c r="W25" i="33"/>
  <c r="AC32" i="21"/>
  <c r="W32" i="21"/>
  <c r="F28" i="67"/>
  <c r="C28" i="67"/>
  <c r="F32" i="67"/>
  <c r="F60" i="67"/>
  <c r="F32" i="15"/>
  <c r="F60" i="15"/>
  <c r="D68" i="9"/>
  <c r="F53" i="9"/>
  <c r="F30" i="11"/>
  <c r="F52" i="9"/>
  <c r="F30" i="69"/>
  <c r="M18" i="15"/>
  <c r="F31" i="12"/>
  <c r="C31" i="12"/>
  <c r="M18" i="67"/>
  <c r="F28" i="15"/>
  <c r="C28" i="15"/>
  <c r="H62" i="43"/>
  <c r="H66" i="43"/>
  <c r="H64" i="43"/>
  <c r="H59" i="43"/>
  <c r="H60" i="43"/>
  <c r="AC11" i="39"/>
  <c r="W11" i="39"/>
  <c r="BL579" i="3"/>
  <c r="AZ579" i="3"/>
  <c r="AA10" i="21"/>
  <c r="AR8" i="1"/>
  <c r="O19" i="43"/>
  <c r="C19" i="43"/>
  <c r="P22" i="43"/>
  <c r="P24" i="43"/>
  <c r="B66" i="40"/>
  <c r="AZ13" i="3"/>
  <c r="H110" i="9"/>
  <c r="D18" i="53"/>
  <c r="B35" i="72"/>
  <c r="D16" i="53"/>
  <c r="P11" i="1"/>
  <c r="C7" i="43"/>
  <c r="F62" i="67"/>
  <c r="U23" i="39"/>
  <c r="AB23" i="39"/>
  <c r="AZ554" i="3"/>
  <c r="E52" i="37"/>
  <c r="S19" i="33"/>
  <c r="AA19" i="33"/>
  <c r="AA43" i="33"/>
  <c r="S43" i="33"/>
  <c r="S47" i="34"/>
  <c r="AA47" i="34"/>
  <c r="AB14" i="33"/>
  <c r="U14" i="33"/>
  <c r="AB32" i="36"/>
  <c r="U32" i="36"/>
  <c r="S11" i="35"/>
  <c r="AA11" i="35"/>
  <c r="AB31" i="33"/>
  <c r="U31" i="33"/>
  <c r="U29" i="33"/>
  <c r="AB29" i="33"/>
  <c r="AA17" i="34"/>
  <c r="S17" i="34"/>
  <c r="AB23" i="34"/>
  <c r="U23" i="34"/>
  <c r="U14" i="35"/>
  <c r="AB14" i="35"/>
  <c r="AC16" i="35"/>
  <c r="W16" i="35"/>
  <c r="H16" i="1"/>
  <c r="Q16" i="1"/>
  <c r="AQ9" i="1"/>
  <c r="AB45" i="34"/>
  <c r="AB13" i="35"/>
  <c r="U32" i="37"/>
  <c r="AB32" i="37"/>
  <c r="AZ379" i="3"/>
  <c r="AZ372" i="3"/>
  <c r="AA9" i="37"/>
  <c r="S9" i="37"/>
  <c r="S22" i="31"/>
  <c r="AZ574" i="3"/>
  <c r="AC14" i="39"/>
  <c r="W14" i="39"/>
  <c r="AA25" i="35"/>
  <c r="S25" i="35"/>
  <c r="U13" i="34"/>
  <c r="AB13" i="34"/>
  <c r="U34" i="39"/>
  <c r="AB34" i="39"/>
  <c r="AA39" i="37"/>
  <c r="S39" i="37"/>
  <c r="C27" i="39"/>
  <c r="B74" i="43"/>
  <c r="AB40" i="33"/>
  <c r="U40" i="33"/>
  <c r="H14" i="37"/>
  <c r="F14" i="37"/>
  <c r="H14" i="39"/>
  <c r="F14" i="39"/>
  <c r="T9" i="1"/>
  <c r="N106" i="43"/>
  <c r="U15" i="34"/>
  <c r="AB19" i="40"/>
  <c r="O9" i="1"/>
  <c r="P9" i="1"/>
  <c r="AC14" i="37"/>
  <c r="W14" i="37"/>
  <c r="S13" i="35"/>
  <c r="AA13" i="35"/>
  <c r="U31" i="34"/>
  <c r="AB31" i="34"/>
  <c r="U30" i="33"/>
  <c r="AB30" i="33"/>
  <c r="AC30" i="34"/>
  <c r="W30" i="34"/>
  <c r="S14" i="34"/>
  <c r="AA14" i="34"/>
  <c r="AZ343" i="3"/>
  <c r="AC9" i="37"/>
  <c r="W9" i="37"/>
  <c r="BL495" i="3"/>
  <c r="G521" i="3"/>
  <c r="AC5" i="3"/>
  <c r="AZ519" i="3"/>
  <c r="AZ587" i="3"/>
  <c r="AB13" i="36"/>
  <c r="U13" i="36"/>
  <c r="BL585" i="3"/>
  <c r="BA585" i="3"/>
  <c r="AZ585" i="3"/>
  <c r="W46" i="21"/>
  <c r="AC46" i="21"/>
  <c r="AZ577" i="3"/>
  <c r="AZ520" i="3"/>
  <c r="AB46" i="34"/>
  <c r="J45" i="21"/>
  <c r="F45" i="21"/>
  <c r="BA557" i="3"/>
  <c r="AZ557" i="3"/>
  <c r="BL541" i="3"/>
  <c r="AZ541" i="3"/>
  <c r="BA539" i="3"/>
  <c r="AZ539" i="3"/>
  <c r="BL533" i="3"/>
  <c r="AZ533" i="3"/>
  <c r="BA531" i="3"/>
  <c r="AZ531" i="3"/>
  <c r="BL530" i="3"/>
  <c r="AZ530" i="3"/>
  <c r="BA526" i="3"/>
  <c r="AZ526" i="3"/>
  <c r="AZ511" i="3"/>
  <c r="AA14" i="33"/>
  <c r="AA11" i="36"/>
  <c r="BL586" i="3"/>
  <c r="AZ586" i="3"/>
  <c r="H31" i="21"/>
  <c r="J31" i="21"/>
  <c r="J12" i="34"/>
  <c r="F12" i="34"/>
  <c r="H39" i="37"/>
  <c r="J39" i="37"/>
  <c r="AB41" i="21"/>
  <c r="U41" i="21"/>
  <c r="BA572" i="3"/>
  <c r="AZ572" i="3"/>
  <c r="BL571" i="3"/>
  <c r="AZ571" i="3"/>
  <c r="BL570" i="3"/>
  <c r="AZ570" i="3"/>
  <c r="BL568" i="3"/>
  <c r="BA568" i="3"/>
  <c r="AZ568" i="3"/>
  <c r="BA567" i="3"/>
  <c r="AZ567" i="3"/>
  <c r="BA564" i="3"/>
  <c r="AZ564" i="3"/>
  <c r="BL563" i="3"/>
  <c r="AZ563" i="3"/>
  <c r="BA550" i="3"/>
  <c r="BL550" i="3"/>
  <c r="AZ550" i="3"/>
  <c r="AA39" i="34"/>
  <c r="AZ583" i="3"/>
  <c r="S40" i="21"/>
  <c r="AA40" i="21"/>
  <c r="BL584" i="3"/>
  <c r="AZ584" i="3"/>
  <c r="BA581" i="3"/>
  <c r="AZ581" i="3"/>
  <c r="BA580" i="3"/>
  <c r="AZ580" i="3"/>
  <c r="BA576" i="3"/>
  <c r="AZ576" i="3"/>
  <c r="BA575" i="3"/>
  <c r="AZ575" i="3"/>
  <c r="BL525" i="3"/>
  <c r="AZ525" i="3"/>
  <c r="BA523" i="3"/>
  <c r="AZ523" i="3"/>
  <c r="BA522" i="3"/>
  <c r="AZ522" i="3"/>
  <c r="BA516" i="3"/>
  <c r="AZ516" i="3"/>
  <c r="BL513" i="3"/>
  <c r="BA513" i="3"/>
  <c r="BL512" i="3"/>
  <c r="AZ512" i="3"/>
  <c r="BL510" i="3"/>
  <c r="AZ510" i="3"/>
  <c r="BL509" i="3"/>
  <c r="AZ509" i="3"/>
  <c r="BA506" i="3"/>
  <c r="AZ506" i="3"/>
  <c r="BA503" i="3"/>
  <c r="AZ503" i="3"/>
  <c r="BA500" i="3"/>
  <c r="AZ500" i="3"/>
  <c r="BA495" i="3"/>
  <c r="AZ495" i="3"/>
  <c r="BL494" i="3"/>
  <c r="BA494" i="3"/>
  <c r="AZ494" i="3"/>
  <c r="F44" i="21"/>
  <c r="U31" i="36"/>
  <c r="F9" i="33"/>
  <c r="F38" i="40"/>
  <c r="J38" i="40"/>
  <c r="G570" i="3"/>
  <c r="BL399" i="3"/>
  <c r="AZ399" i="3"/>
  <c r="F9" i="36"/>
  <c r="J12" i="36"/>
  <c r="H12" i="36"/>
  <c r="G556" i="3"/>
  <c r="BA551" i="3"/>
  <c r="AZ551" i="3"/>
  <c r="BL416" i="3"/>
  <c r="AZ416" i="3"/>
  <c r="BL400" i="3"/>
  <c r="BL402" i="3"/>
  <c r="AZ402" i="3"/>
  <c r="BL406" i="3"/>
  <c r="BL407" i="3"/>
  <c r="G408" i="3"/>
  <c r="BA410" i="3"/>
  <c r="BL410" i="3"/>
  <c r="AZ410" i="3"/>
  <c r="BA411" i="3"/>
  <c r="AZ411" i="3"/>
  <c r="G415" i="3"/>
  <c r="G418" i="3"/>
  <c r="G422" i="3"/>
  <c r="G433" i="3"/>
  <c r="BL434" i="3"/>
  <c r="AZ434" i="3"/>
  <c r="G436" i="3"/>
  <c r="BL444" i="3"/>
  <c r="AZ444" i="3"/>
  <c r="G450" i="3"/>
  <c r="G454" i="3"/>
  <c r="AZ456" i="3"/>
  <c r="AZ458" i="3"/>
  <c r="BA459" i="3"/>
  <c r="AZ459" i="3"/>
  <c r="G468" i="3"/>
  <c r="G472" i="3"/>
  <c r="G475" i="3"/>
  <c r="BA477" i="3"/>
  <c r="AZ477" i="3"/>
  <c r="BA482" i="3"/>
  <c r="AZ482" i="3"/>
  <c r="BL485" i="3"/>
  <c r="G311" i="3"/>
  <c r="G315" i="3"/>
  <c r="G318" i="3"/>
  <c r="AZ400" i="3"/>
  <c r="AZ418" i="3"/>
  <c r="BL481" i="3"/>
  <c r="AZ481" i="3"/>
  <c r="BA403" i="3"/>
  <c r="AZ403" i="3"/>
  <c r="AZ406" i="3"/>
  <c r="AZ407" i="3"/>
  <c r="AZ430" i="3"/>
  <c r="AZ443" i="3"/>
  <c r="AZ447" i="3"/>
  <c r="G483" i="3"/>
  <c r="AZ485" i="3"/>
  <c r="AZ488" i="3"/>
  <c r="G313" i="3"/>
  <c r="AZ395" i="3"/>
  <c r="AZ212" i="3"/>
  <c r="AZ217" i="3"/>
  <c r="AZ228" i="3"/>
  <c r="G401" i="3"/>
  <c r="BA404" i="3"/>
  <c r="AZ404" i="3"/>
  <c r="G412" i="3"/>
  <c r="BL412" i="3"/>
  <c r="AZ412" i="3"/>
  <c r="BL413" i="3"/>
  <c r="AZ413" i="3"/>
  <c r="G414" i="3"/>
  <c r="BA419" i="3"/>
  <c r="AZ419" i="3"/>
  <c r="BA420" i="3"/>
  <c r="AZ420" i="3"/>
  <c r="AZ423" i="3"/>
  <c r="BA425" i="3"/>
  <c r="AZ425" i="3"/>
  <c r="G429" i="3"/>
  <c r="AZ431" i="3"/>
  <c r="G442" i="3"/>
  <c r="G446" i="3"/>
  <c r="AZ448" i="3"/>
  <c r="AZ451" i="3"/>
  <c r="AZ452" i="3"/>
  <c r="AZ455" i="3"/>
  <c r="BA460" i="3"/>
  <c r="AZ460" i="3"/>
  <c r="BA464" i="3"/>
  <c r="AZ464" i="3"/>
  <c r="AZ466" i="3"/>
  <c r="AZ469" i="3"/>
  <c r="AZ470" i="3"/>
  <c r="AZ476" i="3"/>
  <c r="BA478" i="3"/>
  <c r="AZ478" i="3"/>
  <c r="G487" i="3"/>
  <c r="AZ489" i="3"/>
  <c r="G327" i="3"/>
  <c r="AZ208" i="3"/>
  <c r="AZ219" i="3"/>
  <c r="AZ221" i="3"/>
  <c r="AZ246" i="3"/>
  <c r="AZ258" i="3"/>
  <c r="AZ276" i="3"/>
  <c r="AZ284" i="3"/>
  <c r="AZ118" i="3"/>
  <c r="AZ141" i="3"/>
  <c r="AZ161" i="3"/>
  <c r="AZ18" i="3"/>
  <c r="G217" i="3"/>
  <c r="BA222" i="3"/>
  <c r="AZ222" i="3"/>
  <c r="BA227" i="3"/>
  <c r="AZ227" i="3"/>
  <c r="BA239" i="3"/>
  <c r="AZ239" i="3"/>
  <c r="G243" i="3"/>
  <c r="BL243" i="3"/>
  <c r="AZ243" i="3"/>
  <c r="BL244" i="3"/>
  <c r="AZ244" i="3"/>
  <c r="BA247" i="3"/>
  <c r="AZ247" i="3"/>
  <c r="BL251" i="3"/>
  <c r="AZ251" i="3"/>
  <c r="G252" i="3"/>
  <c r="BL256" i="3"/>
  <c r="AZ256" i="3"/>
  <c r="G257" i="3"/>
  <c r="BA259" i="3"/>
  <c r="AZ259" i="3"/>
  <c r="BA264" i="3"/>
  <c r="AZ264" i="3"/>
  <c r="AZ277" i="3"/>
  <c r="AZ285" i="3"/>
  <c r="AZ289" i="3"/>
  <c r="AZ113" i="3"/>
  <c r="AZ121" i="3"/>
  <c r="AZ169" i="3"/>
  <c r="AZ23" i="3"/>
  <c r="AZ46" i="3"/>
  <c r="BA211" i="3"/>
  <c r="AZ211" i="3"/>
  <c r="BA216" i="3"/>
  <c r="AZ216" i="3"/>
  <c r="G220" i="3"/>
  <c r="G225" i="3"/>
  <c r="BA230" i="3"/>
  <c r="AZ230" i="3"/>
  <c r="BL236" i="3"/>
  <c r="AZ236" i="3"/>
  <c r="BA241" i="3"/>
  <c r="AZ241" i="3"/>
  <c r="BA242" i="3"/>
  <c r="AZ242" i="3"/>
  <c r="BA249" i="3"/>
  <c r="AZ249" i="3"/>
  <c r="G253" i="3"/>
  <c r="BL253" i="3"/>
  <c r="AZ253" i="3"/>
  <c r="BL261" i="3"/>
  <c r="AZ261" i="3"/>
  <c r="G262" i="3"/>
  <c r="G268" i="3"/>
  <c r="G270" i="3"/>
  <c r="G273" i="3"/>
  <c r="BL274" i="3"/>
  <c r="AZ274" i="3"/>
  <c r="AZ290" i="3"/>
  <c r="AZ298" i="3"/>
  <c r="AZ122" i="3"/>
  <c r="AZ57" i="3"/>
  <c r="AC21" i="33"/>
  <c r="W21" i="33"/>
  <c r="BL182" i="3"/>
  <c r="AZ182" i="3"/>
  <c r="G188" i="3"/>
  <c r="BA193" i="3"/>
  <c r="AZ193" i="3"/>
  <c r="BL202" i="3"/>
  <c r="AZ202" i="3"/>
  <c r="BA19" i="3"/>
  <c r="AZ19" i="3"/>
  <c r="BA24" i="3"/>
  <c r="AZ24" i="3"/>
  <c r="G28" i="3"/>
  <c r="BL31" i="3"/>
  <c r="AZ31" i="3"/>
  <c r="G32" i="3"/>
  <c r="G41" i="3"/>
  <c r="BL43" i="3"/>
  <c r="AZ43" i="3"/>
  <c r="BA47" i="3"/>
  <c r="BL47" i="3"/>
  <c r="AZ47" i="3"/>
  <c r="BA58" i="3"/>
  <c r="AZ58" i="3"/>
  <c r="BA60" i="3"/>
  <c r="AZ60" i="3"/>
  <c r="BA61" i="3"/>
  <c r="AZ61" i="3"/>
  <c r="G64" i="3"/>
  <c r="BL179" i="3"/>
  <c r="AZ179" i="3"/>
  <c r="BL185" i="3"/>
  <c r="BL191" i="3"/>
  <c r="AZ191" i="3"/>
  <c r="G200" i="3"/>
  <c r="G207" i="3"/>
  <c r="G22" i="3"/>
  <c r="BA27" i="3"/>
  <c r="AZ27" i="3"/>
  <c r="BL33" i="3"/>
  <c r="AZ33" i="3"/>
  <c r="G34" i="3"/>
  <c r="BA37" i="3"/>
  <c r="BL45" i="3"/>
  <c r="AZ45" i="3"/>
  <c r="BA49" i="3"/>
  <c r="AZ49" i="3"/>
  <c r="BL52" i="3"/>
  <c r="AZ52" i="3"/>
  <c r="BL54" i="3"/>
  <c r="AZ54" i="3"/>
  <c r="BL55" i="3"/>
  <c r="AZ55" i="3"/>
  <c r="G108" i="43"/>
  <c r="G100" i="43"/>
  <c r="AZ185" i="3"/>
  <c r="Y19" i="71"/>
  <c r="Z19" i="71"/>
  <c r="Y16" i="71"/>
  <c r="Z16" i="71"/>
  <c r="AZ108" i="3"/>
  <c r="I108" i="43"/>
  <c r="I100" i="43"/>
  <c r="AA18" i="36"/>
  <c r="S18" i="36"/>
  <c r="D77" i="71"/>
  <c r="C76" i="71"/>
  <c r="BL37" i="3"/>
  <c r="BL40" i="3"/>
  <c r="AZ40" i="3"/>
  <c r="BA53" i="3"/>
  <c r="AZ53" i="3"/>
  <c r="G57" i="3"/>
  <c r="BL63" i="3"/>
  <c r="AZ63" i="3"/>
  <c r="BA69" i="3"/>
  <c r="AZ69" i="3"/>
  <c r="BL71" i="3"/>
  <c r="AZ71" i="3"/>
  <c r="BA73" i="3"/>
  <c r="AZ73" i="3"/>
  <c r="BA74" i="3"/>
  <c r="AZ74" i="3"/>
  <c r="BA75" i="3"/>
  <c r="AZ75" i="3"/>
  <c r="AZ76" i="3"/>
  <c r="BA80" i="3"/>
  <c r="AZ80" i="3"/>
  <c r="AZ81" i="3"/>
  <c r="BA89" i="3"/>
  <c r="AZ89" i="3"/>
  <c r="AZ90" i="3"/>
  <c r="BA95" i="3"/>
  <c r="AZ95" i="3"/>
  <c r="AZ96" i="3"/>
  <c r="BA104" i="3"/>
  <c r="AZ104" i="3"/>
  <c r="K100" i="43"/>
  <c r="K108" i="43"/>
  <c r="AB17" i="71"/>
  <c r="AB13" i="71"/>
  <c r="AB14" i="71"/>
  <c r="AB16" i="71"/>
  <c r="F17" i="71"/>
  <c r="F16" i="71"/>
  <c r="F15" i="71"/>
  <c r="AB20" i="71"/>
  <c r="AB23" i="71"/>
  <c r="F24" i="71"/>
  <c r="F25" i="71"/>
  <c r="V25" i="71"/>
  <c r="AB21" i="71"/>
  <c r="AB22" i="71"/>
  <c r="G36" i="3"/>
  <c r="G46" i="3"/>
  <c r="BL50" i="3"/>
  <c r="AZ50" i="3"/>
  <c r="BA56" i="3"/>
  <c r="AZ56" i="3"/>
  <c r="G62" i="3"/>
  <c r="BL66" i="3"/>
  <c r="AZ66" i="3"/>
  <c r="BL72" i="3"/>
  <c r="AZ72" i="3"/>
  <c r="BA78" i="3"/>
  <c r="AZ78" i="3"/>
  <c r="BA87" i="3"/>
  <c r="AZ87" i="3"/>
  <c r="AZ92" i="3"/>
  <c r="BA98" i="3"/>
  <c r="AZ98" i="3"/>
  <c r="BA101" i="3"/>
  <c r="AZ101" i="3"/>
  <c r="AZ103" i="3"/>
  <c r="BL106" i="3"/>
  <c r="AZ106" i="3"/>
  <c r="BA111" i="3"/>
  <c r="AZ111" i="3"/>
  <c r="F3" i="35"/>
  <c r="B7" i="1"/>
  <c r="E7" i="1"/>
  <c r="E59" i="43"/>
  <c r="B57" i="43"/>
  <c r="M100" i="43"/>
  <c r="M108" i="43"/>
  <c r="E100" i="43"/>
  <c r="E108" i="43"/>
  <c r="S21" i="21"/>
  <c r="Y20" i="71"/>
  <c r="Z20" i="71"/>
  <c r="Y22" i="71"/>
  <c r="Z22" i="71"/>
  <c r="Y21" i="71"/>
  <c r="Z21" i="71"/>
  <c r="C23" i="71"/>
  <c r="AA24" i="71"/>
  <c r="AA23" i="71"/>
  <c r="D39" i="71"/>
  <c r="C40" i="71"/>
  <c r="B64" i="71"/>
  <c r="B63" i="71"/>
  <c r="S65" i="71"/>
  <c r="X7" i="71"/>
  <c r="C15" i="71"/>
  <c r="D15" i="71"/>
  <c r="D16" i="71"/>
  <c r="D28" i="71"/>
  <c r="X19" i="71"/>
  <c r="B21" i="71"/>
  <c r="S21" i="71"/>
  <c r="AA19" i="71"/>
  <c r="AA20" i="71"/>
  <c r="AA14" i="71"/>
  <c r="AB25" i="71"/>
  <c r="AB26" i="71"/>
  <c r="F27" i="71"/>
  <c r="F28" i="71"/>
  <c r="F29" i="71"/>
  <c r="V29" i="71"/>
  <c r="D43" i="71"/>
  <c r="C44" i="71"/>
  <c r="C48" i="71"/>
  <c r="C72" i="71"/>
  <c r="D73" i="71"/>
  <c r="X13" i="71"/>
  <c r="AB6" i="71"/>
  <c r="N54" i="71"/>
  <c r="T33" i="71"/>
  <c r="D33" i="71"/>
  <c r="S17" i="71"/>
  <c r="B16" i="71"/>
  <c r="B15" i="71"/>
  <c r="AA18" i="71"/>
  <c r="X17" i="71"/>
  <c r="X14" i="71"/>
  <c r="X16" i="71"/>
  <c r="Y18" i="71"/>
  <c r="Z18" i="71"/>
  <c r="Y15" i="71"/>
  <c r="Z15" i="71"/>
  <c r="Y17" i="71"/>
  <c r="Z17" i="71"/>
  <c r="C19" i="71"/>
  <c r="D51" i="71"/>
  <c r="C52" i="71"/>
  <c r="Q55" i="71"/>
  <c r="Q54" i="71"/>
  <c r="V65" i="71"/>
  <c r="F64" i="71"/>
  <c r="F63" i="71"/>
  <c r="Y11" i="71"/>
  <c r="Z11" i="71"/>
  <c r="Y10" i="71"/>
  <c r="Z10" i="71"/>
  <c r="Y3" i="71"/>
  <c r="Z3" i="71"/>
  <c r="D68" i="71"/>
  <c r="D64" i="71"/>
  <c r="AA16" i="71"/>
  <c r="E20" i="71"/>
  <c r="E21" i="71"/>
  <c r="U21" i="71"/>
  <c r="B12" i="71"/>
  <c r="B11" i="71"/>
  <c r="B10" i="71"/>
  <c r="B9" i="71"/>
  <c r="X11" i="71"/>
  <c r="AB10" i="71"/>
  <c r="AA10" i="71"/>
  <c r="AB7" i="71"/>
  <c r="X5" i="71"/>
  <c r="AA5" i="71"/>
  <c r="E23" i="71"/>
  <c r="E24" i="71"/>
  <c r="E25" i="71"/>
  <c r="U25" i="71"/>
  <c r="AA22" i="71"/>
  <c r="X22" i="71"/>
  <c r="X23" i="71"/>
  <c r="AB24" i="71"/>
  <c r="P61" i="15"/>
  <c r="P74" i="15"/>
  <c r="Y13" i="71"/>
  <c r="Z13" i="71"/>
  <c r="AA7" i="71"/>
  <c r="Y5" i="71"/>
  <c r="Z5" i="71"/>
  <c r="AB5" i="71"/>
  <c r="AA17" i="71"/>
  <c r="D65" i="71"/>
  <c r="Q57" i="71"/>
  <c r="Y26" i="71"/>
  <c r="Z26" i="71"/>
  <c r="X24" i="71"/>
  <c r="AB18" i="71"/>
  <c r="X25" i="71"/>
  <c r="Y27" i="71"/>
  <c r="Z27" i="71"/>
  <c r="Y12" i="71"/>
  <c r="Z12" i="71"/>
  <c r="AB12" i="71"/>
  <c r="AA11" i="71"/>
  <c r="X10" i="71"/>
  <c r="Y7" i="71"/>
  <c r="Z7" i="71"/>
  <c r="X6" i="71"/>
  <c r="AA6" i="71"/>
  <c r="Y6" i="71"/>
  <c r="Z6" i="71"/>
  <c r="N56" i="9"/>
  <c r="P74" i="67"/>
  <c r="V13" i="71"/>
  <c r="AD10" i="43"/>
  <c r="M17" i="67"/>
  <c r="F59" i="15"/>
  <c r="F59" i="67"/>
  <c r="M17" i="15"/>
  <c r="F13" i="67"/>
  <c r="F36" i="67"/>
  <c r="M26" i="67"/>
  <c r="L48" i="67"/>
  <c r="M23" i="67"/>
  <c r="M24" i="67"/>
  <c r="M29" i="67"/>
  <c r="F37" i="67"/>
  <c r="F38" i="67"/>
  <c r="M21" i="67"/>
  <c r="F41" i="67"/>
  <c r="F43" i="67"/>
  <c r="M8" i="67"/>
  <c r="J15" i="67"/>
  <c r="M9" i="67"/>
  <c r="M6" i="67"/>
  <c r="F9" i="67"/>
  <c r="D6" i="73"/>
  <c r="M22" i="67"/>
  <c r="D4" i="73"/>
  <c r="F16" i="67"/>
  <c r="F26" i="67"/>
  <c r="D5" i="73"/>
  <c r="F7" i="67"/>
  <c r="M28" i="67"/>
  <c r="F6" i="67"/>
  <c r="F8" i="67"/>
  <c r="C16" i="15"/>
  <c r="L47" i="67"/>
  <c r="M27" i="67"/>
  <c r="F42" i="67"/>
  <c r="F40" i="67"/>
  <c r="F35" i="67"/>
  <c r="D7" i="73"/>
  <c r="D3" i="73"/>
  <c r="C76" i="67"/>
  <c r="N20" i="1"/>
  <c r="N19" i="1"/>
  <c r="N21" i="1"/>
  <c r="M22" i="1"/>
  <c r="J103" i="43"/>
  <c r="E56" i="39"/>
  <c r="E51" i="40"/>
  <c r="B73" i="72"/>
  <c r="B71" i="72"/>
  <c r="K4" i="4"/>
  <c r="B46" i="48"/>
  <c r="H55" i="43"/>
  <c r="H50" i="43"/>
  <c r="G17" i="43"/>
  <c r="C16" i="43"/>
  <c r="C5" i="43"/>
  <c r="H53" i="43"/>
  <c r="H56" i="43"/>
  <c r="H49" i="43"/>
  <c r="H54" i="43"/>
  <c r="H48" i="43"/>
  <c r="H51" i="43"/>
  <c r="J107" i="43"/>
  <c r="F107" i="43"/>
  <c r="F109" i="43"/>
  <c r="F104" i="43"/>
  <c r="D22" i="43"/>
  <c r="L109" i="43"/>
  <c r="F103" i="43"/>
  <c r="F105" i="43"/>
  <c r="J53" i="67"/>
  <c r="Q52" i="67"/>
  <c r="I54" i="67"/>
  <c r="J57" i="67"/>
  <c r="J55" i="67"/>
  <c r="J58" i="67"/>
  <c r="Q50" i="67"/>
  <c r="L56" i="67"/>
  <c r="J20" i="67"/>
  <c r="F65" i="67"/>
  <c r="F51" i="67"/>
  <c r="F70" i="67"/>
  <c r="N59" i="67"/>
  <c r="L58" i="67"/>
  <c r="Q60" i="67"/>
  <c r="L59" i="67"/>
  <c r="Q61" i="67"/>
  <c r="M59" i="67"/>
  <c r="F63" i="67"/>
  <c r="C62" i="67"/>
  <c r="C34" i="67"/>
  <c r="F66" i="67"/>
  <c r="F64" i="67"/>
  <c r="Q71" i="67"/>
  <c r="F50" i="67"/>
  <c r="M7" i="67"/>
  <c r="J6" i="67"/>
  <c r="J18" i="67"/>
  <c r="C27" i="67"/>
  <c r="C6" i="67"/>
  <c r="C32" i="67"/>
  <c r="F69" i="67"/>
  <c r="F68" i="67"/>
  <c r="F71" i="67"/>
  <c r="I109" i="43"/>
  <c r="J106" i="43"/>
  <c r="J105" i="43"/>
  <c r="K102" i="43"/>
  <c r="E109" i="43"/>
  <c r="L107" i="43"/>
  <c r="J109" i="43"/>
  <c r="N107" i="43"/>
  <c r="K105" i="43"/>
  <c r="M109" i="43"/>
  <c r="K107" i="43"/>
  <c r="K109" i="43"/>
  <c r="G109" i="43"/>
  <c r="J102" i="43"/>
  <c r="G28" i="6"/>
  <c r="E28" i="6"/>
  <c r="G29" i="6"/>
  <c r="E29" i="6"/>
  <c r="K15" i="1"/>
  <c r="K103" i="43"/>
  <c r="K104" i="43"/>
  <c r="H104" i="43"/>
  <c r="H102" i="43"/>
  <c r="H107" i="43"/>
  <c r="H106" i="43"/>
  <c r="H105" i="43"/>
  <c r="M106" i="43"/>
  <c r="M107" i="43"/>
  <c r="M102" i="43"/>
  <c r="M103" i="43"/>
  <c r="M104" i="43"/>
  <c r="M105" i="43"/>
  <c r="C104" i="43"/>
  <c r="C106" i="43"/>
  <c r="C105" i="43"/>
  <c r="C103" i="43"/>
  <c r="C102" i="43"/>
  <c r="C109" i="43"/>
  <c r="C107" i="43"/>
  <c r="I106" i="43"/>
  <c r="I107" i="43"/>
  <c r="I102" i="43"/>
  <c r="I103" i="43"/>
  <c r="I105" i="43"/>
  <c r="I104" i="43"/>
  <c r="H109" i="43"/>
  <c r="G107" i="43"/>
  <c r="G105" i="43"/>
  <c r="G102" i="43"/>
  <c r="G103" i="43"/>
  <c r="G104" i="43"/>
  <c r="G106" i="43"/>
  <c r="B115" i="43"/>
  <c r="D117" i="43"/>
  <c r="E117" i="43"/>
  <c r="F117" i="43"/>
  <c r="G117" i="43"/>
  <c r="H117" i="43"/>
  <c r="D118" i="43"/>
  <c r="E118" i="43"/>
  <c r="F118" i="43"/>
  <c r="B118" i="43"/>
  <c r="C118" i="43"/>
  <c r="B117" i="43"/>
  <c r="C117" i="43"/>
  <c r="D115" i="43"/>
  <c r="E115" i="43"/>
  <c r="F115" i="43"/>
  <c r="G115" i="43"/>
  <c r="H115" i="43"/>
  <c r="D116" i="43"/>
  <c r="E116" i="43"/>
  <c r="F116" i="43"/>
  <c r="G116" i="43"/>
  <c r="H116" i="43"/>
  <c r="I117" i="43"/>
  <c r="J117" i="43"/>
  <c r="K117" i="43"/>
  <c r="L117" i="43"/>
  <c r="M117" i="43"/>
  <c r="I116" i="43"/>
  <c r="J116" i="43"/>
  <c r="K116" i="43"/>
  <c r="L116" i="43"/>
  <c r="M116" i="43"/>
  <c r="G118" i="43"/>
  <c r="H118" i="43"/>
  <c r="I115" i="43"/>
  <c r="J115" i="43"/>
  <c r="K115" i="43"/>
  <c r="L115" i="43"/>
  <c r="M115" i="43"/>
  <c r="I118" i="43"/>
  <c r="J118" i="43"/>
  <c r="K118" i="43"/>
  <c r="L118" i="43"/>
  <c r="M118" i="43"/>
  <c r="B116" i="43"/>
  <c r="C116" i="43"/>
  <c r="D103" i="43"/>
  <c r="D107" i="43"/>
  <c r="D105" i="43"/>
  <c r="D102" i="43"/>
  <c r="D104" i="43"/>
  <c r="D109" i="43"/>
  <c r="D106" i="43"/>
  <c r="H103" i="43"/>
  <c r="L104" i="43"/>
  <c r="L103" i="43"/>
  <c r="L102" i="43"/>
  <c r="L105" i="43"/>
  <c r="N102" i="43"/>
  <c r="N105" i="43"/>
  <c r="N109" i="43"/>
  <c r="N104" i="43"/>
  <c r="E102" i="43"/>
  <c r="E103" i="43"/>
  <c r="E104" i="43"/>
  <c r="E105" i="43"/>
  <c r="E106" i="43"/>
  <c r="E107" i="43"/>
  <c r="D19" i="53"/>
  <c r="D126" i="9"/>
  <c r="C49" i="15"/>
  <c r="E20" i="43"/>
  <c r="P28" i="43"/>
  <c r="K1" i="73"/>
  <c r="D29" i="71"/>
  <c r="T29" i="71"/>
  <c r="W12" i="36"/>
  <c r="AC12" i="36"/>
  <c r="AB39" i="37"/>
  <c r="U39" i="37"/>
  <c r="D76" i="71"/>
  <c r="C75" i="71"/>
  <c r="D75" i="71"/>
  <c r="AA38" i="40"/>
  <c r="S38" i="40"/>
  <c r="AB14" i="37"/>
  <c r="U14" i="37"/>
  <c r="B34" i="72"/>
  <c r="D17" i="53"/>
  <c r="B36" i="72"/>
  <c r="C20" i="71"/>
  <c r="D19" i="71"/>
  <c r="D40" i="71"/>
  <c r="C41" i="71"/>
  <c r="C24" i="71"/>
  <c r="D23" i="71"/>
  <c r="U12" i="36"/>
  <c r="AB12" i="36"/>
  <c r="AA9" i="33"/>
  <c r="S9" i="33"/>
  <c r="AZ513" i="3"/>
  <c r="AC39" i="37"/>
  <c r="W39" i="37"/>
  <c r="AC31" i="21"/>
  <c r="W31" i="21"/>
  <c r="AA14" i="39"/>
  <c r="S14" i="39"/>
  <c r="B20" i="31"/>
  <c r="R22" i="31"/>
  <c r="B21" i="31"/>
  <c r="F10" i="39"/>
  <c r="H10" i="40"/>
  <c r="H10" i="39"/>
  <c r="J10" i="39"/>
  <c r="J10" i="40"/>
  <c r="F10" i="40"/>
  <c r="C30" i="11"/>
  <c r="C48" i="11"/>
  <c r="C9" i="69"/>
  <c r="AZ547" i="3"/>
  <c r="H7" i="21"/>
  <c r="BL5" i="3"/>
  <c r="J7" i="34"/>
  <c r="Q61" i="15"/>
  <c r="Q74" i="15"/>
  <c r="AB31" i="21"/>
  <c r="U31" i="21"/>
  <c r="U14" i="39"/>
  <c r="AB14" i="39"/>
  <c r="J18" i="15"/>
  <c r="M11" i="67"/>
  <c r="J10" i="67"/>
  <c r="F11" i="67"/>
  <c r="M11" i="15"/>
  <c r="J10" i="15"/>
  <c r="J5" i="15"/>
  <c r="F11" i="15"/>
  <c r="Q73" i="15"/>
  <c r="Q60" i="15"/>
  <c r="D72" i="71"/>
  <c r="C71" i="71"/>
  <c r="D71" i="71"/>
  <c r="AZ37" i="3"/>
  <c r="AZ560" i="3"/>
  <c r="AZ5" i="3"/>
  <c r="F46" i="36"/>
  <c r="G46" i="36"/>
  <c r="H46" i="36"/>
  <c r="I46" i="36"/>
  <c r="J46" i="36"/>
  <c r="K46" i="36"/>
  <c r="L46" i="36"/>
  <c r="M46" i="36"/>
  <c r="N46" i="36"/>
  <c r="O46" i="36"/>
  <c r="AC35" i="35"/>
  <c r="W35" i="35"/>
  <c r="B8" i="71"/>
  <c r="B7" i="71"/>
  <c r="B6" i="71"/>
  <c r="B5" i="71"/>
  <c r="S9" i="71"/>
  <c r="D52" i="71"/>
  <c r="C53" i="71"/>
  <c r="C49" i="71"/>
  <c r="D48" i="71"/>
  <c r="G5" i="3"/>
  <c r="B3" i="3"/>
  <c r="E475" i="3"/>
  <c r="AA9" i="36"/>
  <c r="S9" i="36"/>
  <c r="AC38" i="40"/>
  <c r="W38" i="40"/>
  <c r="AA44" i="21"/>
  <c r="S44" i="21"/>
  <c r="S12" i="34"/>
  <c r="AA12" i="34"/>
  <c r="AA45" i="21"/>
  <c r="S45" i="21"/>
  <c r="AA14" i="37"/>
  <c r="S14" i="37"/>
  <c r="F27" i="69"/>
  <c r="F28" i="12"/>
  <c r="C29" i="12"/>
  <c r="D28" i="12"/>
  <c r="F27" i="11"/>
  <c r="F27" i="68"/>
  <c r="F52" i="37"/>
  <c r="BA5" i="3"/>
  <c r="E27" i="6"/>
  <c r="F7" i="21"/>
  <c r="C30" i="69"/>
  <c r="C48" i="69"/>
  <c r="E65" i="40"/>
  <c r="F63" i="40"/>
  <c r="C7" i="71"/>
  <c r="D8" i="71"/>
  <c r="H48" i="35"/>
  <c r="F70" i="39"/>
  <c r="G68" i="39"/>
  <c r="H7" i="34"/>
  <c r="U35" i="35"/>
  <c r="AB35" i="35"/>
  <c r="F7" i="34"/>
  <c r="D44" i="71"/>
  <c r="C45" i="71"/>
  <c r="W12" i="34"/>
  <c r="AC12" i="34"/>
  <c r="W45" i="21"/>
  <c r="AC45" i="21"/>
  <c r="D5" i="43"/>
  <c r="J7" i="21"/>
  <c r="E15" i="6"/>
  <c r="E12" i="6"/>
  <c r="E13" i="6"/>
  <c r="E10" i="6"/>
  <c r="E11" i="6"/>
  <c r="E14" i="6"/>
  <c r="M58" i="33"/>
  <c r="AA35" i="35"/>
  <c r="S35" i="35"/>
  <c r="Q52" i="15"/>
  <c r="F1" i="15"/>
  <c r="C17" i="67"/>
  <c r="G1" i="73"/>
  <c r="C16" i="67"/>
  <c r="AE6" i="1"/>
  <c r="C14" i="67"/>
  <c r="D1" i="66"/>
  <c r="E10" i="66"/>
  <c r="B4" i="72"/>
  <c r="C18" i="67"/>
  <c r="C15" i="67"/>
  <c r="Q73" i="67"/>
  <c r="C49" i="67"/>
  <c r="Q74" i="67"/>
  <c r="F1" i="67"/>
  <c r="J5" i="67"/>
  <c r="J24" i="67"/>
  <c r="E16" i="6"/>
  <c r="E41" i="3"/>
  <c r="E521" i="3"/>
  <c r="E544" i="3"/>
  <c r="E34" i="3"/>
  <c r="E570" i="3"/>
  <c r="E217" i="3"/>
  <c r="G30" i="6"/>
  <c r="G31" i="6"/>
  <c r="C115" i="43"/>
  <c r="D113" i="43"/>
  <c r="S4" i="43"/>
  <c r="S5" i="43"/>
  <c r="S2" i="43"/>
  <c r="S7" i="43"/>
  <c r="S3" i="43"/>
  <c r="C23" i="43"/>
  <c r="C21" i="43"/>
  <c r="S6" i="43"/>
  <c r="D127" i="9"/>
  <c r="D13" i="52"/>
  <c r="I14" i="74"/>
  <c r="B8" i="74"/>
  <c r="D12" i="52"/>
  <c r="B38" i="72"/>
  <c r="D20" i="53"/>
  <c r="B40" i="72"/>
  <c r="M28" i="43"/>
  <c r="G20" i="43"/>
  <c r="O28" i="43"/>
  <c r="N28" i="43"/>
  <c r="B40" i="1"/>
  <c r="F22" i="69"/>
  <c r="F7" i="36"/>
  <c r="J24" i="15"/>
  <c r="J26" i="15"/>
  <c r="E53" i="3"/>
  <c r="E175" i="3"/>
  <c r="E319" i="3"/>
  <c r="E530" i="3"/>
  <c r="E501" i="3"/>
  <c r="E343" i="3"/>
  <c r="E153" i="3"/>
  <c r="E305" i="3"/>
  <c r="E426" i="3"/>
  <c r="E508" i="3"/>
  <c r="E328" i="3"/>
  <c r="E125" i="3"/>
  <c r="E366" i="3"/>
  <c r="E526" i="3"/>
  <c r="E553" i="3"/>
  <c r="E282" i="3"/>
  <c r="E322" i="3"/>
  <c r="N6" i="3"/>
  <c r="AJ6" i="3"/>
  <c r="E347" i="3"/>
  <c r="E583" i="3"/>
  <c r="AA6" i="3"/>
  <c r="X6" i="3"/>
  <c r="E399" i="3"/>
  <c r="E336" i="3"/>
  <c r="E280" i="3"/>
  <c r="E246" i="3"/>
  <c r="E124" i="3"/>
  <c r="E293" i="3"/>
  <c r="E358" i="3"/>
  <c r="E514" i="3"/>
  <c r="E559" i="3"/>
  <c r="E551" i="3"/>
  <c r="M6" i="3"/>
  <c r="V6" i="3"/>
  <c r="AB6" i="3"/>
  <c r="E407" i="3"/>
  <c r="E387" i="3"/>
  <c r="E320" i="3"/>
  <c r="E335" i="3"/>
  <c r="E294" i="3"/>
  <c r="E215" i="3"/>
  <c r="E230" i="3"/>
  <c r="E189" i="3"/>
  <c r="E130" i="3"/>
  <c r="E134" i="3"/>
  <c r="E254" i="3"/>
  <c r="E91" i="3"/>
  <c r="E221" i="3"/>
  <c r="E180" i="3"/>
  <c r="E149" i="3"/>
  <c r="E77" i="3"/>
  <c r="E212" i="3"/>
  <c r="E167" i="3"/>
  <c r="E199" i="3"/>
  <c r="E141" i="3"/>
  <c r="E369" i="3"/>
  <c r="E393" i="3"/>
  <c r="E525" i="3"/>
  <c r="E493" i="3"/>
  <c r="E564" i="3"/>
  <c r="T6" i="3"/>
  <c r="E543" i="3"/>
  <c r="E405" i="3"/>
  <c r="E427" i="3"/>
  <c r="E456" i="3"/>
  <c r="E486" i="3"/>
  <c r="E469" i="3"/>
  <c r="E507" i="3"/>
  <c r="E440" i="3"/>
  <c r="E451" i="3"/>
  <c r="E490" i="3"/>
  <c r="E360" i="3"/>
  <c r="E376" i="3"/>
  <c r="AH6" i="3"/>
  <c r="E497" i="3"/>
  <c r="J6" i="3"/>
  <c r="E13" i="3"/>
  <c r="E498" i="3"/>
  <c r="E494" i="3"/>
  <c r="E419" i="3"/>
  <c r="E452" i="3"/>
  <c r="E470" i="3"/>
  <c r="E420" i="3"/>
  <c r="E463" i="3"/>
  <c r="E26" i="3"/>
  <c r="E40" i="3"/>
  <c r="E104" i="3"/>
  <c r="E25" i="3"/>
  <c r="E108" i="3"/>
  <c r="E115" i="3"/>
  <c r="E178" i="3"/>
  <c r="E198" i="3"/>
  <c r="E119" i="3"/>
  <c r="E139" i="3"/>
  <c r="E202" i="3"/>
  <c r="E242" i="3"/>
  <c r="E281" i="3"/>
  <c r="E226" i="3"/>
  <c r="E276" i="3"/>
  <c r="E332" i="3"/>
  <c r="E346" i="3"/>
  <c r="E356" i="3"/>
  <c r="E372" i="3"/>
  <c r="AL6" i="3"/>
  <c r="L6" i="3"/>
  <c r="E42" i="3"/>
  <c r="E60" i="3"/>
  <c r="E94" i="3"/>
  <c r="E43" i="3"/>
  <c r="E488" i="3"/>
  <c r="E428" i="3"/>
  <c r="E482" i="3"/>
  <c r="E18" i="3"/>
  <c r="E96" i="3"/>
  <c r="E78" i="3"/>
  <c r="E190" i="3"/>
  <c r="E174" i="3"/>
  <c r="E275" i="3"/>
  <c r="E235" i="3"/>
  <c r="E383" i="3"/>
  <c r="E342" i="3"/>
  <c r="E522" i="3"/>
  <c r="E35" i="3"/>
  <c r="E86" i="3"/>
  <c r="E49" i="3"/>
  <c r="E206" i="3"/>
  <c r="E232" i="3"/>
  <c r="E251" i="3"/>
  <c r="AF6" i="3"/>
  <c r="E102" i="3"/>
  <c r="E80" i="3"/>
  <c r="E113" i="3"/>
  <c r="E158" i="3"/>
  <c r="E287" i="3"/>
  <c r="E308" i="3"/>
  <c r="E326" i="3"/>
  <c r="E83" i="3"/>
  <c r="E261" i="3"/>
  <c r="E528" i="3"/>
  <c r="E183" i="3"/>
  <c r="E361" i="3"/>
  <c r="E503" i="3"/>
  <c r="E69" i="3"/>
  <c r="E278" i="3"/>
  <c r="E563" i="3"/>
  <c r="E172" i="3"/>
  <c r="E445" i="3"/>
  <c r="E535" i="3"/>
  <c r="E329" i="3"/>
  <c r="O6" i="3"/>
  <c r="E579" i="3"/>
  <c r="E510" i="3"/>
  <c r="E359" i="3"/>
  <c r="E247" i="3"/>
  <c r="E205" i="3"/>
  <c r="E97" i="3"/>
  <c r="E353" i="3"/>
  <c r="E533" i="3"/>
  <c r="E511" i="3"/>
  <c r="AN6" i="3"/>
  <c r="AK6" i="3"/>
  <c r="E402" i="3"/>
  <c r="E439" i="3"/>
  <c r="E306" i="3"/>
  <c r="E303" i="3"/>
  <c r="E231" i="3"/>
  <c r="E159" i="3"/>
  <c r="E185" i="3"/>
  <c r="E236" i="3"/>
  <c r="E228" i="3"/>
  <c r="E161" i="3"/>
  <c r="E89" i="3"/>
  <c r="E140" i="3"/>
  <c r="E45" i="3"/>
  <c r="E271" i="3"/>
  <c r="E197" i="3"/>
  <c r="E193" i="3"/>
  <c r="E107" i="3"/>
  <c r="E575" i="3"/>
  <c r="K6" i="3"/>
  <c r="Z6" i="3"/>
  <c r="R6" i="3"/>
  <c r="AO6" i="3"/>
  <c r="E485" i="3"/>
  <c r="E406" i="3"/>
  <c r="E400" i="3"/>
  <c r="E449" i="3"/>
  <c r="E465" i="3"/>
  <c r="E345" i="3"/>
  <c r="I3" i="6"/>
  <c r="E587" i="3"/>
  <c r="E557" i="3"/>
  <c r="E554" i="3"/>
  <c r="E577" i="3"/>
  <c r="E531" i="3"/>
  <c r="E435" i="3"/>
  <c r="E489" i="3"/>
  <c r="E417" i="3"/>
  <c r="E56" i="3"/>
  <c r="E106" i="3"/>
  <c r="E70" i="3"/>
  <c r="E95" i="3"/>
  <c r="E146" i="3"/>
  <c r="E182" i="3"/>
  <c r="E132" i="3"/>
  <c r="E171" i="3"/>
  <c r="E211" i="3"/>
  <c r="E258" i="3"/>
  <c r="E214" i="3"/>
  <c r="E292" i="3"/>
  <c r="E377" i="3"/>
  <c r="E349" i="3"/>
  <c r="E362" i="3"/>
  <c r="E572" i="3"/>
  <c r="E74" i="3"/>
  <c r="E109" i="3"/>
  <c r="E59" i="3"/>
  <c r="E409" i="3"/>
  <c r="E484" i="3"/>
  <c r="E79" i="3"/>
  <c r="E138" i="3"/>
  <c r="E137" i="3"/>
  <c r="E209" i="3"/>
  <c r="E299" i="3"/>
  <c r="E371" i="3"/>
  <c r="E354" i="3"/>
  <c r="AQ6" i="3"/>
  <c r="E84" i="3"/>
  <c r="E48" i="3"/>
  <c r="E123" i="3"/>
  <c r="E184" i="3"/>
  <c r="E284" i="3"/>
  <c r="E364" i="3"/>
  <c r="E68" i="3"/>
  <c r="E19" i="3"/>
  <c r="E176" i="3"/>
  <c r="E264" i="3"/>
  <c r="E323" i="3"/>
  <c r="E524" i="3"/>
  <c r="E21" i="3"/>
  <c r="E237" i="3"/>
  <c r="E565" i="3"/>
  <c r="E17" i="3"/>
  <c r="E539" i="3"/>
  <c r="E567" i="3"/>
  <c r="E431" i="3"/>
  <c r="E337" i="3"/>
  <c r="E143" i="3"/>
  <c r="E128" i="3"/>
  <c r="E314" i="3"/>
  <c r="S6" i="3"/>
  <c r="E523" i="3"/>
  <c r="E586" i="3"/>
  <c r="E549" i="3"/>
  <c r="E453" i="3"/>
  <c r="E380" i="3"/>
  <c r="E263" i="3"/>
  <c r="E245" i="3"/>
  <c r="E136" i="3"/>
  <c r="E61" i="3"/>
  <c r="E290" i="3"/>
  <c r="E157" i="3"/>
  <c r="E120" i="3"/>
  <c r="E223" i="3"/>
  <c r="E204" i="3"/>
  <c r="E164" i="3"/>
  <c r="E286" i="3"/>
  <c r="E379" i="3"/>
  <c r="E585" i="3"/>
  <c r="Q6" i="3"/>
  <c r="E552" i="3"/>
  <c r="E421" i="3"/>
  <c r="E448" i="3"/>
  <c r="E474" i="3"/>
  <c r="E527" i="3"/>
  <c r="E430" i="3"/>
  <c r="E432" i="3"/>
  <c r="E477" i="3"/>
  <c r="E344" i="3"/>
  <c r="E566" i="3"/>
  <c r="E500" i="3"/>
  <c r="E581" i="3"/>
  <c r="E537" i="3"/>
  <c r="E491" i="3"/>
  <c r="E447" i="3"/>
  <c r="E55" i="3"/>
  <c r="E90" i="3"/>
  <c r="E121" i="3"/>
  <c r="E168" i="3"/>
  <c r="E150" i="3"/>
  <c r="E192" i="3"/>
  <c r="E272" i="3"/>
  <c r="E210" i="3"/>
  <c r="E274" i="3"/>
  <c r="E348" i="3"/>
  <c r="E378" i="3"/>
  <c r="E334" i="3"/>
  <c r="E14" i="3"/>
  <c r="E31" i="3"/>
  <c r="E76" i="3"/>
  <c r="E29" i="3"/>
  <c r="E441" i="3"/>
  <c r="E15" i="3"/>
  <c r="E47" i="3"/>
  <c r="E65" i="3"/>
  <c r="E160" i="3"/>
  <c r="E194" i="3"/>
  <c r="E219" i="3"/>
  <c r="E307" i="3"/>
  <c r="E310" i="3"/>
  <c r="E23" i="3"/>
  <c r="E87" i="3"/>
  <c r="E250" i="3"/>
  <c r="E355" i="3"/>
  <c r="E50" i="3"/>
  <c r="E179" i="3"/>
  <c r="E283" i="3"/>
  <c r="E513" i="3"/>
  <c r="E114" i="3"/>
  <c r="E395" i="3"/>
  <c r="E550" i="3"/>
  <c r="E239" i="3"/>
  <c r="E516" i="3"/>
  <c r="E574" i="3"/>
  <c r="E461" i="3"/>
  <c r="E227" i="3"/>
  <c r="E201" i="3"/>
  <c r="E385" i="3"/>
  <c r="E518" i="3"/>
  <c r="E16" i="3"/>
  <c r="E506" i="3"/>
  <c r="E350" i="3"/>
  <c r="E368" i="3"/>
  <c r="E244" i="3"/>
  <c r="E216" i="3"/>
  <c r="E191" i="3"/>
  <c r="E269" i="3"/>
  <c r="E117" i="3"/>
  <c r="E260" i="3"/>
  <c r="E509" i="3"/>
  <c r="E555" i="3"/>
  <c r="E410" i="3"/>
  <c r="E352" i="3"/>
  <c r="E229" i="3"/>
  <c r="E151" i="3"/>
  <c r="E390" i="3"/>
  <c r="E495" i="3"/>
  <c r="I6" i="3"/>
  <c r="E536" i="3"/>
  <c r="E538" i="3"/>
  <c r="E423" i="3"/>
  <c r="E382" i="3"/>
  <c r="E296" i="3"/>
  <c r="E298" i="3"/>
  <c r="E169" i="3"/>
  <c r="E99" i="3"/>
  <c r="E148" i="3"/>
  <c r="E122" i="3"/>
  <c r="E224" i="3"/>
  <c r="E116" i="3"/>
  <c r="E105" i="3"/>
  <c r="E330" i="3"/>
  <c r="AD6" i="3"/>
  <c r="E542" i="3"/>
  <c r="AG6" i="3"/>
  <c r="E529" i="3"/>
  <c r="E458" i="3"/>
  <c r="E466" i="3"/>
  <c r="E548" i="3"/>
  <c r="E424" i="3"/>
  <c r="E459" i="3"/>
  <c r="E374" i="3"/>
  <c r="E558" i="3"/>
  <c r="W6" i="3"/>
  <c r="E571" i="3"/>
  <c r="E517" i="3"/>
  <c r="E403" i="3"/>
  <c r="E476" i="3"/>
  <c r="E496" i="3"/>
  <c r="E39" i="3"/>
  <c r="E88" i="3"/>
  <c r="E54" i="3"/>
  <c r="E111" i="3"/>
  <c r="E152" i="3"/>
  <c r="E126" i="3"/>
  <c r="E186" i="3"/>
  <c r="E256" i="3"/>
  <c r="E297" i="3"/>
  <c r="E259" i="3"/>
  <c r="E316" i="3"/>
  <c r="E357" i="3"/>
  <c r="E389" i="3"/>
  <c r="AM6" i="3"/>
  <c r="E44" i="3"/>
  <c r="E540" i="3"/>
  <c r="E467" i="3"/>
  <c r="E38" i="3"/>
  <c r="E170" i="3"/>
  <c r="E163" i="3"/>
  <c r="E267" i="3"/>
  <c r="E300" i="3"/>
  <c r="E325" i="3"/>
  <c r="E584" i="3"/>
  <c r="E24" i="3"/>
  <c r="E33" i="3"/>
  <c r="E147" i="3"/>
  <c r="E340" i="3"/>
  <c r="Y6" i="3"/>
  <c r="E63" i="3"/>
  <c r="E118" i="3"/>
  <c r="E265" i="3"/>
  <c r="E373" i="3"/>
  <c r="E302" i="3"/>
  <c r="E165" i="3"/>
  <c r="E568" i="3"/>
  <c r="E434" i="3"/>
  <c r="E196" i="3"/>
  <c r="E238" i="3"/>
  <c r="E133" i="3"/>
  <c r="E576" i="3"/>
  <c r="E573" i="3"/>
  <c r="E411" i="3"/>
  <c r="E481" i="3"/>
  <c r="E416" i="3"/>
  <c r="E288" i="3"/>
  <c r="AP6" i="3"/>
  <c r="AS6" i="3"/>
  <c r="E460" i="3"/>
  <c r="E404" i="3"/>
  <c r="E72" i="3"/>
  <c r="E92" i="3"/>
  <c r="E203" i="3"/>
  <c r="E240" i="3"/>
  <c r="E363" i="3"/>
  <c r="E384" i="3"/>
  <c r="E58" i="3"/>
  <c r="E480" i="3"/>
  <c r="E455" i="3"/>
  <c r="E103" i="3"/>
  <c r="E234" i="3"/>
  <c r="E386" i="3"/>
  <c r="E52" i="3"/>
  <c r="E127" i="3"/>
  <c r="E381" i="3"/>
  <c r="E154" i="3"/>
  <c r="E309" i="3"/>
  <c r="E569" i="3"/>
  <c r="AR6" i="3"/>
  <c r="E338" i="3"/>
  <c r="E156" i="3"/>
  <c r="E177" i="3"/>
  <c r="E499" i="3"/>
  <c r="E515" i="3"/>
  <c r="E464" i="3"/>
  <c r="P6" i="3"/>
  <c r="E457" i="3"/>
  <c r="E367" i="3"/>
  <c r="AE6" i="3"/>
  <c r="E413" i="3"/>
  <c r="E471" i="3"/>
  <c r="E479" i="3"/>
  <c r="E27" i="3"/>
  <c r="E131" i="3"/>
  <c r="E166" i="3"/>
  <c r="E279" i="3"/>
  <c r="E291" i="3"/>
  <c r="E394" i="3"/>
  <c r="E504" i="3"/>
  <c r="E93" i="3"/>
  <c r="E462" i="3"/>
  <c r="E195" i="3"/>
  <c r="E249" i="3"/>
  <c r="E392" i="3"/>
  <c r="E67" i="3"/>
  <c r="E289" i="3"/>
  <c r="E51" i="3"/>
  <c r="E218" i="3"/>
  <c r="E82" i="3"/>
  <c r="E304" i="3"/>
  <c r="AI6" i="3"/>
  <c r="E321" i="3"/>
  <c r="E85" i="3"/>
  <c r="E532" i="3"/>
  <c r="E398" i="3"/>
  <c r="E547" i="3"/>
  <c r="E295" i="3"/>
  <c r="E473" i="3"/>
  <c r="E112" i="3"/>
  <c r="E222" i="3"/>
  <c r="E396" i="3"/>
  <c r="E312" i="3"/>
  <c r="E478" i="3"/>
  <c r="E562" i="3"/>
  <c r="E162" i="3"/>
  <c r="E351" i="3"/>
  <c r="E580" i="3"/>
  <c r="E98" i="3"/>
  <c r="E266" i="3"/>
  <c r="E20" i="3"/>
  <c r="E213" i="3"/>
  <c r="E388" i="3"/>
  <c r="E285" i="3"/>
  <c r="E397" i="3"/>
  <c r="E578" i="3"/>
  <c r="E301" i="3"/>
  <c r="E181" i="3"/>
  <c r="E277" i="3"/>
  <c r="E173" i="3"/>
  <c r="E519" i="3"/>
  <c r="U6" i="3"/>
  <c r="E437" i="3"/>
  <c r="E438" i="3"/>
  <c r="E255" i="3"/>
  <c r="E505" i="3"/>
  <c r="E582" i="3"/>
  <c r="E444" i="3"/>
  <c r="E71" i="3"/>
  <c r="E73" i="3"/>
  <c r="E187" i="3"/>
  <c r="E208" i="3"/>
  <c r="E241" i="3"/>
  <c r="E331" i="3"/>
  <c r="E375" i="3"/>
  <c r="E30" i="3"/>
  <c r="E75" i="3"/>
  <c r="E425" i="3"/>
  <c r="E100" i="3"/>
  <c r="E248" i="3"/>
  <c r="E339" i="3"/>
  <c r="E66" i="3"/>
  <c r="E144" i="3"/>
  <c r="E341" i="3"/>
  <c r="E81" i="3"/>
  <c r="E365" i="3"/>
  <c r="E135" i="3"/>
  <c r="E145" i="3"/>
  <c r="E502" i="3"/>
  <c r="E443" i="3"/>
  <c r="E520" i="3"/>
  <c r="E37" i="3"/>
  <c r="E155" i="3"/>
  <c r="E317" i="3"/>
  <c r="E110" i="3"/>
  <c r="E142" i="3"/>
  <c r="E492" i="3"/>
  <c r="E233" i="3"/>
  <c r="E101" i="3"/>
  <c r="E546" i="3"/>
  <c r="E333" i="3"/>
  <c r="E370" i="3"/>
  <c r="E512" i="3"/>
  <c r="E545" i="3"/>
  <c r="E560" i="3"/>
  <c r="E561" i="3"/>
  <c r="E324" i="3"/>
  <c r="E541" i="3"/>
  <c r="E534" i="3"/>
  <c r="E391" i="3"/>
  <c r="E129" i="3"/>
  <c r="E36" i="3"/>
  <c r="T53" i="71"/>
  <c r="D53" i="71"/>
  <c r="AY6" i="3"/>
  <c r="E3" i="6"/>
  <c r="E270" i="3"/>
  <c r="E46" i="3"/>
  <c r="AB7" i="21"/>
  <c r="T48" i="21"/>
  <c r="G48" i="21"/>
  <c r="U7" i="21"/>
  <c r="W10" i="40"/>
  <c r="AC10" i="40"/>
  <c r="S10" i="39"/>
  <c r="AA10" i="39"/>
  <c r="E436" i="3"/>
  <c r="E327" i="3"/>
  <c r="E32" i="3"/>
  <c r="C25" i="71"/>
  <c r="D24" i="71"/>
  <c r="D20" i="71"/>
  <c r="C21" i="71"/>
  <c r="E313" i="3"/>
  <c r="H7" i="36"/>
  <c r="E58" i="40"/>
  <c r="E63" i="39"/>
  <c r="I48" i="35"/>
  <c r="J48" i="35"/>
  <c r="K48" i="35"/>
  <c r="L48" i="35"/>
  <c r="M48" i="35"/>
  <c r="N48" i="35"/>
  <c r="O48" i="35"/>
  <c r="E315" i="3"/>
  <c r="E257" i="3"/>
  <c r="E59" i="40"/>
  <c r="E64" i="39"/>
  <c r="E57" i="40"/>
  <c r="E62" i="39"/>
  <c r="E446" i="3"/>
  <c r="T45" i="71"/>
  <c r="D45" i="71"/>
  <c r="E415" i="3"/>
  <c r="S7" i="21"/>
  <c r="AA7" i="21"/>
  <c r="R48" i="21"/>
  <c r="G52" i="37"/>
  <c r="C47" i="69"/>
  <c r="D45" i="69"/>
  <c r="C29" i="69"/>
  <c r="D27" i="69"/>
  <c r="E483" i="3"/>
  <c r="E253" i="3"/>
  <c r="E22" i="3"/>
  <c r="E62" i="3"/>
  <c r="J7" i="36"/>
  <c r="E454" i="3"/>
  <c r="C53" i="67"/>
  <c r="C10" i="67"/>
  <c r="C5" i="67"/>
  <c r="W10" i="39"/>
  <c r="AC10" i="39"/>
  <c r="E472" i="3"/>
  <c r="E252" i="3"/>
  <c r="E64" i="3"/>
  <c r="D41" i="71"/>
  <c r="T41" i="71"/>
  <c r="E30" i="6"/>
  <c r="K24" i="6"/>
  <c r="M24" i="6"/>
  <c r="I24" i="6"/>
  <c r="S24" i="6"/>
  <c r="K14" i="1"/>
  <c r="K26" i="6"/>
  <c r="M26" i="6"/>
  <c r="I26" i="6"/>
  <c r="S26" i="6"/>
  <c r="K19" i="6"/>
  <c r="S6" i="1"/>
  <c r="K20" i="6"/>
  <c r="M20" i="6"/>
  <c r="I20" i="6"/>
  <c r="S20" i="6"/>
  <c r="K21" i="6"/>
  <c r="M21" i="6"/>
  <c r="I21" i="6"/>
  <c r="S21" i="6"/>
  <c r="K25" i="6"/>
  <c r="M25" i="6"/>
  <c r="I25" i="6"/>
  <c r="S25" i="6"/>
  <c r="K22" i="6"/>
  <c r="M22" i="6"/>
  <c r="I22" i="6"/>
  <c r="S22" i="6"/>
  <c r="K23" i="6"/>
  <c r="M23" i="6"/>
  <c r="I23" i="6"/>
  <c r="S23" i="6"/>
  <c r="E556" i="3"/>
  <c r="E412" i="3"/>
  <c r="N58" i="33"/>
  <c r="O58" i="33"/>
  <c r="E61" i="39"/>
  <c r="E56" i="40"/>
  <c r="E60" i="40"/>
  <c r="E65" i="39"/>
  <c r="E262" i="3"/>
  <c r="E318" i="3"/>
  <c r="U7" i="34"/>
  <c r="AB7" i="34"/>
  <c r="T49" i="34"/>
  <c r="G49" i="34"/>
  <c r="C6" i="71"/>
  <c r="D7" i="71"/>
  <c r="E31" i="6"/>
  <c r="C47" i="68"/>
  <c r="D45" i="68"/>
  <c r="C29" i="68"/>
  <c r="D27" i="68"/>
  <c r="E433" i="3"/>
  <c r="E429" i="3"/>
  <c r="E268" i="3"/>
  <c r="E401" i="3"/>
  <c r="AC7" i="34"/>
  <c r="V49" i="34"/>
  <c r="I49" i="34"/>
  <c r="W7" i="34"/>
  <c r="U10" i="39"/>
  <c r="AB10" i="39"/>
  <c r="E408" i="3"/>
  <c r="E414" i="3"/>
  <c r="E225" i="3"/>
  <c r="E200" i="3"/>
  <c r="E422" i="3"/>
  <c r="E188" i="3"/>
  <c r="AC7" i="21"/>
  <c r="V48" i="21"/>
  <c r="I48" i="21"/>
  <c r="W7" i="21"/>
  <c r="S7" i="36"/>
  <c r="AA7" i="36"/>
  <c r="R36" i="36"/>
  <c r="AA7" i="34"/>
  <c r="R49" i="34"/>
  <c r="S7" i="34"/>
  <c r="H68" i="39"/>
  <c r="G70" i="39"/>
  <c r="G63" i="40"/>
  <c r="F65" i="40"/>
  <c r="C29" i="11"/>
  <c r="D27" i="11"/>
  <c r="C47" i="11"/>
  <c r="D45" i="11"/>
  <c r="E450" i="3"/>
  <c r="E487" i="3"/>
  <c r="E28" i="3"/>
  <c r="E57" i="3"/>
  <c r="D49" i="71"/>
  <c r="T49" i="71"/>
  <c r="E243" i="3"/>
  <c r="C10" i="15"/>
  <c r="C53" i="15"/>
  <c r="C48" i="15"/>
  <c r="E220" i="3"/>
  <c r="AA10" i="40"/>
  <c r="S10" i="40"/>
  <c r="U10" i="40"/>
  <c r="AB10" i="40"/>
  <c r="E418" i="3"/>
  <c r="E442" i="3"/>
  <c r="E273" i="3"/>
  <c r="E311" i="3"/>
  <c r="E207" i="3"/>
  <c r="E468" i="3"/>
  <c r="C17" i="15"/>
  <c r="F41" i="15"/>
  <c r="E6" i="70"/>
  <c r="E2" i="70"/>
  <c r="C6" i="15"/>
  <c r="C32" i="15"/>
  <c r="C19" i="67"/>
  <c r="C20" i="67"/>
  <c r="C26" i="67"/>
  <c r="F69" i="15"/>
  <c r="J29" i="15"/>
  <c r="C20" i="43"/>
  <c r="T7" i="43"/>
  <c r="V7" i="43"/>
  <c r="E41" i="43"/>
  <c r="C41" i="43"/>
  <c r="C48" i="67"/>
  <c r="C66" i="67"/>
  <c r="J26" i="67"/>
  <c r="J29" i="67"/>
  <c r="AQ6" i="1"/>
  <c r="AR6" i="1"/>
  <c r="S16" i="1"/>
  <c r="T6" i="1"/>
  <c r="H6" i="3"/>
  <c r="AC6" i="3"/>
  <c r="E6" i="3"/>
  <c r="F25" i="12"/>
  <c r="C26" i="12"/>
  <c r="D25" i="12"/>
  <c r="F24" i="15"/>
  <c r="C24" i="15"/>
  <c r="F22" i="68"/>
  <c r="C44" i="68"/>
  <c r="D41" i="68"/>
  <c r="F24" i="67"/>
  <c r="C24" i="67"/>
  <c r="F22" i="11"/>
  <c r="C44" i="11"/>
  <c r="D41" i="11"/>
  <c r="J7" i="35"/>
  <c r="H7" i="35"/>
  <c r="J7" i="33"/>
  <c r="AC7" i="33"/>
  <c r="V48" i="33"/>
  <c r="I48" i="33"/>
  <c r="F7" i="33"/>
  <c r="S7" i="33"/>
  <c r="F7" i="35"/>
  <c r="S7" i="35"/>
  <c r="I53" i="34"/>
  <c r="J53" i="34"/>
  <c r="W7" i="33"/>
  <c r="C26" i="69"/>
  <c r="D22" i="69"/>
  <c r="C44" i="69"/>
  <c r="D41" i="69"/>
  <c r="AA7" i="35"/>
  <c r="R38" i="35"/>
  <c r="AB7" i="36"/>
  <c r="T36" i="36"/>
  <c r="G36" i="36"/>
  <c r="U7" i="36"/>
  <c r="E49" i="34"/>
  <c r="I54" i="34"/>
  <c r="J54" i="34"/>
  <c r="R50" i="34"/>
  <c r="U7" i="35"/>
  <c r="AB7" i="35"/>
  <c r="T38" i="35"/>
  <c r="G38" i="35"/>
  <c r="K27" i="6"/>
  <c r="M19" i="6"/>
  <c r="W7" i="36"/>
  <c r="AC7" i="36"/>
  <c r="V36" i="36"/>
  <c r="I36" i="36"/>
  <c r="H52" i="37"/>
  <c r="T25" i="71"/>
  <c r="D25" i="71"/>
  <c r="W7" i="35"/>
  <c r="AC7" i="35"/>
  <c r="V38" i="35"/>
  <c r="I38" i="35"/>
  <c r="E36" i="36"/>
  <c r="R37" i="36"/>
  <c r="C60" i="15"/>
  <c r="C66" i="15"/>
  <c r="I68" i="39"/>
  <c r="H70" i="39"/>
  <c r="C5" i="71"/>
  <c r="D6" i="71"/>
  <c r="C38" i="67"/>
  <c r="R49" i="21"/>
  <c r="E48" i="21"/>
  <c r="I53" i="21"/>
  <c r="J53" i="21"/>
  <c r="D21" i="71"/>
  <c r="T21" i="71"/>
  <c r="G52" i="21"/>
  <c r="H52" i="21"/>
  <c r="G53" i="21"/>
  <c r="H53" i="21"/>
  <c r="D3" i="34"/>
  <c r="E6" i="6"/>
  <c r="D14" i="12"/>
  <c r="M18" i="9"/>
  <c r="B118" i="9"/>
  <c r="B14" i="74"/>
  <c r="B1" i="74"/>
  <c r="D3" i="33"/>
  <c r="C17" i="4"/>
  <c r="B4" i="52"/>
  <c r="B43" i="72"/>
  <c r="D3" i="37"/>
  <c r="D3" i="21"/>
  <c r="L18" i="9"/>
  <c r="D37" i="11"/>
  <c r="C37" i="11"/>
  <c r="D19" i="11"/>
  <c r="C19" i="11"/>
  <c r="I52" i="21"/>
  <c r="J52" i="21"/>
  <c r="G65" i="40"/>
  <c r="H63" i="40"/>
  <c r="G54" i="34"/>
  <c r="H54" i="34"/>
  <c r="G53" i="34"/>
  <c r="H53" i="34"/>
  <c r="E66" i="39"/>
  <c r="M14" i="1"/>
  <c r="K16" i="1"/>
  <c r="C34" i="69"/>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7" i="3"/>
  <c r="AY66" i="3"/>
  <c r="AY196" i="3"/>
  <c r="AY144" i="3"/>
  <c r="AY115" i="3"/>
  <c r="AY74" i="3"/>
  <c r="AY152" i="3"/>
  <c r="AY276" i="3"/>
  <c r="AY204" i="3"/>
  <c r="AY253" i="3"/>
  <c r="AY225" i="3"/>
  <c r="AY363" i="3"/>
  <c r="AY303" i="3"/>
  <c r="AY470" i="3"/>
  <c r="AY412" i="3"/>
  <c r="AY529" i="3"/>
  <c r="AY180" i="3"/>
  <c r="AY229" i="3"/>
  <c r="AY217" i="3"/>
  <c r="AY358" i="3"/>
  <c r="AY326" i="3"/>
  <c r="AY463" i="3"/>
  <c r="AY433" i="3"/>
  <c r="AY557" i="3"/>
  <c r="AY544" i="3"/>
  <c r="AY541" i="3"/>
  <c r="AY105" i="3"/>
  <c r="AY92" i="3"/>
  <c r="AY45" i="3"/>
  <c r="AY52" i="3"/>
  <c r="AY33" i="3"/>
  <c r="AY201" i="3"/>
  <c r="AY162" i="3"/>
  <c r="AY165" i="3"/>
  <c r="AY118" i="3"/>
  <c r="AY291" i="3"/>
  <c r="AY278" i="3"/>
  <c r="AY231" i="3"/>
  <c r="AY238" i="3"/>
  <c r="AY219" i="3"/>
  <c r="AY381" i="3"/>
  <c r="AY368" i="3"/>
  <c r="BH6" i="3"/>
  <c r="AY104" i="3"/>
  <c r="AY72" i="3"/>
  <c r="AY202" i="3"/>
  <c r="AY177" i="3"/>
  <c r="AY121" i="3"/>
  <c r="AY259" i="3"/>
  <c r="AY210" i="3"/>
  <c r="AY370" i="3"/>
  <c r="AY333" i="3"/>
  <c r="AY332" i="3"/>
  <c r="AY483" i="3"/>
  <c r="AY472" i="3"/>
  <c r="AY446" i="3"/>
  <c r="AY406" i="3"/>
  <c r="AY411" i="3"/>
  <c r="BM6" i="3"/>
  <c r="AY572" i="3"/>
  <c r="AY571" i="3"/>
  <c r="AY510" i="3"/>
  <c r="AY543" i="3"/>
  <c r="AY494" i="3"/>
  <c r="AY519" i="3"/>
  <c r="AY81" i="3"/>
  <c r="AY48" i="3"/>
  <c r="AY189" i="3"/>
  <c r="AY153" i="3"/>
  <c r="AY287" i="3"/>
  <c r="AY266" i="3"/>
  <c r="AY396" i="3"/>
  <c r="AY364" i="3"/>
  <c r="AY313" i="3"/>
  <c r="AY320" i="3"/>
  <c r="AY471" i="3"/>
  <c r="AY453" i="3"/>
  <c r="AY434" i="3"/>
  <c r="AY439" i="3"/>
  <c r="AY579" i="3"/>
  <c r="AY538" i="3"/>
  <c r="AY524" i="3"/>
  <c r="AY509" i="3"/>
  <c r="AY545" i="3"/>
  <c r="AY578" i="3"/>
  <c r="AY94" i="3"/>
  <c r="AY62" i="3"/>
  <c r="AY192" i="3"/>
  <c r="AY167" i="3"/>
  <c r="AY301" i="3"/>
  <c r="AY249" i="3"/>
  <c r="AY221" i="3"/>
  <c r="AY359" i="3"/>
  <c r="AY346" i="3"/>
  <c r="AY466" i="3"/>
  <c r="AY408" i="3"/>
  <c r="AY558" i="3"/>
  <c r="AY512" i="3"/>
  <c r="AY107" i="3"/>
  <c r="AY55" i="3"/>
  <c r="AY27" i="3"/>
  <c r="AY164" i="3"/>
  <c r="AY128" i="3"/>
  <c r="AY273" i="3"/>
  <c r="AY240" i="3"/>
  <c r="AY391" i="3"/>
  <c r="AY323" i="3"/>
  <c r="AY477" i="3"/>
  <c r="AY448" i="3"/>
  <c r="AY550" i="3"/>
  <c r="AY566" i="3"/>
  <c r="AY586" i="3"/>
  <c r="AY67" i="3"/>
  <c r="AY23" i="3"/>
  <c r="AY155" i="3"/>
  <c r="AY95" i="3"/>
  <c r="AY183" i="3"/>
  <c r="AY261" i="3"/>
  <c r="AY297" i="3"/>
  <c r="AY236" i="3"/>
  <c r="AY366" i="3"/>
  <c r="AY489" i="3"/>
  <c r="AY428" i="3"/>
  <c r="AY106" i="3"/>
  <c r="AY300" i="3"/>
  <c r="AY212" i="3"/>
  <c r="AY343" i="3"/>
  <c r="AY465" i="3"/>
  <c r="AY420" i="3"/>
  <c r="AY549" i="3"/>
  <c r="AY540" i="3"/>
  <c r="AY553" i="3"/>
  <c r="AY77" i="3"/>
  <c r="AY76" i="3"/>
  <c r="AY20" i="3"/>
  <c r="AY193" i="3"/>
  <c r="AY138" i="3"/>
  <c r="AY133" i="3"/>
  <c r="AY283" i="3"/>
  <c r="AY255" i="3"/>
  <c r="AY246" i="3"/>
  <c r="AY392" i="3"/>
  <c r="AY374" i="3"/>
  <c r="AY507" i="3"/>
  <c r="AY88" i="3"/>
  <c r="AY24" i="3"/>
  <c r="AY166" i="3"/>
  <c r="AY295" i="3"/>
  <c r="AY258" i="3"/>
  <c r="AY377" i="3"/>
  <c r="AY317" i="3"/>
  <c r="AY316" i="3"/>
  <c r="AY480" i="3"/>
  <c r="AY438" i="3"/>
  <c r="AY427" i="3"/>
  <c r="BQ6" i="3"/>
  <c r="AY534" i="3"/>
  <c r="AY520" i="3"/>
  <c r="AY16" i="3"/>
  <c r="AY514" i="3"/>
  <c r="AY101" i="3"/>
  <c r="AY64" i="3"/>
  <c r="AY174" i="3"/>
  <c r="AY129" i="3"/>
  <c r="AY251" i="3"/>
  <c r="AY380" i="3"/>
  <c r="AY337" i="3"/>
  <c r="AY328" i="3"/>
  <c r="AY484" i="3"/>
  <c r="AY458" i="3"/>
  <c r="AY402" i="3"/>
  <c r="AY505" i="3"/>
  <c r="D3" i="6"/>
  <c r="AY565" i="3"/>
  <c r="AY570" i="3"/>
  <c r="AY493" i="3"/>
  <c r="AY78" i="3"/>
  <c r="AY187" i="3"/>
  <c r="AY135" i="3"/>
  <c r="AY265" i="3"/>
  <c r="AY394" i="3"/>
  <c r="AY331" i="3"/>
  <c r="AY469" i="3"/>
  <c r="AY437" i="3"/>
  <c r="AY547" i="3"/>
  <c r="AY587" i="3"/>
  <c r="AY70" i="3"/>
  <c r="AY184" i="3"/>
  <c r="AY143" i="3"/>
  <c r="AY257" i="3"/>
  <c r="AY213" i="3"/>
  <c r="AY354" i="3"/>
  <c r="AY490" i="3"/>
  <c r="AY400" i="3"/>
  <c r="BC6" i="3"/>
  <c r="AY498" i="3"/>
  <c r="AY83" i="3"/>
  <c r="AY34" i="3"/>
  <c r="AY160" i="3"/>
  <c r="AY289" i="3"/>
  <c r="AY188" i="3"/>
  <c r="AY281" i="3"/>
  <c r="AY168" i="3"/>
  <c r="AY252" i="3"/>
  <c r="AY371" i="3"/>
  <c r="AY318" i="3"/>
  <c r="AY460" i="3"/>
  <c r="AY497" i="3"/>
  <c r="AY116" i="3"/>
  <c r="AY228" i="3"/>
  <c r="AY372" i="3"/>
  <c r="AY310" i="3"/>
  <c r="AY436" i="3"/>
  <c r="AY513" i="3"/>
  <c r="AY569" i="3"/>
  <c r="BE6" i="3"/>
  <c r="AY100" i="3"/>
  <c r="AY84" i="3"/>
  <c r="AY28" i="3"/>
  <c r="AY190" i="3"/>
  <c r="AY154" i="3"/>
  <c r="AY141" i="3"/>
  <c r="AY299" i="3"/>
  <c r="AY263" i="3"/>
  <c r="AY262" i="3"/>
  <c r="AY227" i="3"/>
  <c r="AY373" i="3"/>
  <c r="AY554" i="3"/>
  <c r="AY109" i="3"/>
  <c r="AY56" i="3"/>
  <c r="AY181" i="3"/>
  <c r="AY114" i="3"/>
  <c r="AY274" i="3"/>
  <c r="AY388" i="3"/>
  <c r="AY341" i="3"/>
  <c r="AY324" i="3"/>
  <c r="AY488" i="3"/>
  <c r="AY462" i="3"/>
  <c r="AY398" i="3"/>
  <c r="AY503" i="3"/>
  <c r="AY561" i="3"/>
  <c r="AY546" i="3"/>
  <c r="BG6" i="3"/>
  <c r="AY532" i="3"/>
  <c r="AY523" i="3"/>
  <c r="AY80" i="3"/>
  <c r="AY194" i="3"/>
  <c r="AY137" i="3"/>
  <c r="AY267" i="3"/>
  <c r="AY223" i="3"/>
  <c r="AY345" i="3"/>
  <c r="AY344" i="3"/>
  <c r="AY479" i="3"/>
  <c r="AY445" i="3"/>
  <c r="AY410" i="3"/>
  <c r="AY407" i="3"/>
  <c r="AY14" i="3"/>
  <c r="AY515" i="3"/>
  <c r="BR6" i="3"/>
  <c r="BA6" i="3"/>
  <c r="AY63" i="3"/>
  <c r="AY19" i="3"/>
  <c r="AY151" i="3"/>
  <c r="AY280" i="3"/>
  <c r="AY232" i="3"/>
  <c r="AY362" i="3"/>
  <c r="AY485" i="3"/>
  <c r="AY424" i="3"/>
  <c r="AY517" i="3"/>
  <c r="BL6" i="3"/>
  <c r="AY71" i="3"/>
  <c r="AY200" i="3"/>
  <c r="AY159" i="3"/>
  <c r="AY277" i="3"/>
  <c r="AY224" i="3"/>
  <c r="AY351" i="3"/>
  <c r="AY306" i="3"/>
  <c r="AY416" i="3"/>
  <c r="BD6" i="3"/>
  <c r="BT6" i="3"/>
  <c r="AY50" i="3"/>
  <c r="AY124" i="3"/>
  <c r="AY123" i="3"/>
  <c r="AY268" i="3"/>
  <c r="AY319" i="3"/>
  <c r="AY409" i="3"/>
  <c r="AY260" i="3"/>
  <c r="AY342" i="3"/>
  <c r="AY401" i="3"/>
  <c r="AY539" i="3"/>
  <c r="AY61" i="3"/>
  <c r="AY198" i="3"/>
  <c r="AY149" i="3"/>
  <c r="AY286" i="3"/>
  <c r="AY214" i="3"/>
  <c r="AY360" i="3"/>
  <c r="AY41" i="3"/>
  <c r="AY145" i="3"/>
  <c r="AY215" i="3"/>
  <c r="AY348" i="3"/>
  <c r="AY449" i="3"/>
  <c r="AY581" i="3"/>
  <c r="AY536" i="3"/>
  <c r="AY584" i="3"/>
  <c r="AY65" i="3"/>
  <c r="AY169" i="3"/>
  <c r="AY234" i="3"/>
  <c r="AY305" i="3"/>
  <c r="AY468" i="3"/>
  <c r="AY415" i="3"/>
  <c r="AY502" i="3"/>
  <c r="BP6" i="3"/>
  <c r="AY35" i="3"/>
  <c r="AY285" i="3"/>
  <c r="AY376" i="3"/>
  <c r="AY456" i="3"/>
  <c r="AY568" i="3"/>
  <c r="AY38" i="3"/>
  <c r="AY293" i="3"/>
  <c r="AY367" i="3"/>
  <c r="AY443" i="3"/>
  <c r="AY504" i="3"/>
  <c r="AY207" i="3"/>
  <c r="AY59" i="3"/>
  <c r="AY111" i="3"/>
  <c r="AY209" i="3"/>
  <c r="AY473" i="3"/>
  <c r="AY43" i="3"/>
  <c r="AY395" i="3"/>
  <c r="AY478" i="3"/>
  <c r="BK6" i="3"/>
  <c r="AY97" i="3"/>
  <c r="AY60" i="3"/>
  <c r="AY185" i="3"/>
  <c r="AY134" i="3"/>
  <c r="AY247" i="3"/>
  <c r="AY384" i="3"/>
  <c r="BJ6" i="3"/>
  <c r="AY29" i="3"/>
  <c r="AY290" i="3"/>
  <c r="AY353" i="3"/>
  <c r="AY491" i="3"/>
  <c r="AY430" i="3"/>
  <c r="AY580" i="3"/>
  <c r="AY495" i="3"/>
  <c r="AY496" i="3"/>
  <c r="AY37" i="3"/>
  <c r="AY113" i="3"/>
  <c r="AY369" i="3"/>
  <c r="AY312" i="3"/>
  <c r="AY442" i="3"/>
  <c r="AY506" i="3"/>
  <c r="AY551" i="3"/>
  <c r="AY99" i="3"/>
  <c r="AY172" i="3"/>
  <c r="AY264" i="3"/>
  <c r="AY315" i="3"/>
  <c r="AY405" i="3"/>
  <c r="AY91" i="3"/>
  <c r="AY179" i="3"/>
  <c r="AY241" i="3"/>
  <c r="AY307" i="3"/>
  <c r="AY429" i="3"/>
  <c r="AY58" i="3"/>
  <c r="AY170" i="3"/>
  <c r="AY275" i="3"/>
  <c r="AY582" i="3"/>
  <c r="AY499" i="3"/>
  <c r="AY79" i="3"/>
  <c r="AY314" i="3"/>
  <c r="AY86" i="3"/>
  <c r="AY338" i="3"/>
  <c r="AY103" i="3"/>
  <c r="AY42" i="3"/>
  <c r="AY382" i="3"/>
  <c r="AY26" i="3"/>
  <c r="AY452" i="3"/>
  <c r="AY44" i="3"/>
  <c r="AY270" i="3"/>
  <c r="BB6" i="3"/>
  <c r="AY475" i="3"/>
  <c r="AY585" i="3"/>
  <c r="AY282" i="3"/>
  <c r="AY487" i="3"/>
  <c r="AY248" i="3"/>
  <c r="AY148" i="3"/>
  <c r="AY51" i="3"/>
  <c r="AY139" i="3"/>
  <c r="AY131" i="3"/>
  <c r="AY284" i="3"/>
  <c r="AY335" i="3"/>
  <c r="AY441" i="3"/>
  <c r="AY245" i="3"/>
  <c r="AY327" i="3"/>
  <c r="AY417" i="3"/>
  <c r="AY533" i="3"/>
  <c r="AY69" i="3"/>
  <c r="AY206" i="3"/>
  <c r="AY173" i="3"/>
  <c r="AY294" i="3"/>
  <c r="AY230" i="3"/>
  <c r="AY357" i="3"/>
  <c r="AY73" i="3"/>
  <c r="AY161" i="3"/>
  <c r="AY242" i="3"/>
  <c r="AY309" i="3"/>
  <c r="AY457" i="3"/>
  <c r="AY419" i="3"/>
  <c r="BF6" i="3"/>
  <c r="AY501" i="3"/>
  <c r="AY96" i="3"/>
  <c r="AY158" i="3"/>
  <c r="AY250" i="3"/>
  <c r="AY329" i="3"/>
  <c r="AY476" i="3"/>
  <c r="AY423" i="3"/>
  <c r="AY522" i="3"/>
  <c r="AY531" i="3"/>
  <c r="AY46" i="3"/>
  <c r="AY127" i="3"/>
  <c r="AY378" i="3"/>
  <c r="AY451" i="3"/>
  <c r="AY560" i="3"/>
  <c r="AY54" i="3"/>
  <c r="AY119" i="3"/>
  <c r="AY386" i="3"/>
  <c r="AY459" i="3"/>
  <c r="AY511" i="3"/>
  <c r="AY176" i="3"/>
  <c r="AY455" i="3"/>
  <c r="AY379" i="3"/>
  <c r="AY573" i="3"/>
  <c r="AY108" i="3"/>
  <c r="AY125" i="3"/>
  <c r="AY397" i="3"/>
  <c r="AY197" i="3"/>
  <c r="AY349" i="3"/>
  <c r="AY414" i="3"/>
  <c r="AY552" i="3"/>
  <c r="AY21" i="3"/>
  <c r="AY361" i="3"/>
  <c r="AY426" i="3"/>
  <c r="AY542" i="3"/>
  <c r="AY156" i="3"/>
  <c r="AY500" i="3"/>
  <c r="AY256" i="3"/>
  <c r="AY521" i="3"/>
  <c r="H7" i="33"/>
  <c r="C14" i="15"/>
  <c r="C18" i="15"/>
  <c r="C15" i="15"/>
  <c r="C19" i="15"/>
  <c r="C5" i="15"/>
  <c r="C38" i="15"/>
  <c r="T6" i="43"/>
  <c r="V6" i="43"/>
  <c r="C29" i="43"/>
  <c r="C30" i="43"/>
  <c r="E30" i="43"/>
  <c r="T3" i="43"/>
  <c r="V3" i="43"/>
  <c r="C38" i="43"/>
  <c r="C39" i="43"/>
  <c r="T2" i="43"/>
  <c r="V2" i="43"/>
  <c r="T10" i="43"/>
  <c r="V10" i="43"/>
  <c r="T12" i="43"/>
  <c r="V12" i="43"/>
  <c r="C36" i="43"/>
  <c r="T13" i="43"/>
  <c r="V13" i="43"/>
  <c r="C35" i="43"/>
  <c r="T16" i="43"/>
  <c r="V16" i="43"/>
  <c r="C34" i="43"/>
  <c r="T8" i="43"/>
  <c r="V8" i="43"/>
  <c r="T15" i="43"/>
  <c r="V15" i="43"/>
  <c r="T14" i="43"/>
  <c r="V14" i="43"/>
  <c r="C37" i="43"/>
  <c r="T9" i="43"/>
  <c r="V9" i="43"/>
  <c r="C33" i="43"/>
  <c r="T11" i="43"/>
  <c r="V11" i="43"/>
  <c r="T4" i="43"/>
  <c r="V4" i="43"/>
  <c r="T5" i="43"/>
  <c r="V5" i="43"/>
  <c r="C60" i="67"/>
  <c r="C26" i="68"/>
  <c r="D22" i="68"/>
  <c r="C23" i="11"/>
  <c r="C26" i="11"/>
  <c r="D22" i="11"/>
  <c r="C23" i="67"/>
  <c r="C29" i="67"/>
  <c r="C57" i="67"/>
  <c r="AA7" i="33"/>
  <c r="R48" i="33"/>
  <c r="H20" i="6"/>
  <c r="D25" i="6"/>
  <c r="D22" i="6"/>
  <c r="D24" i="6"/>
  <c r="D9" i="6"/>
  <c r="L19" i="9"/>
  <c r="H25" i="6"/>
  <c r="H21" i="6"/>
  <c r="D19" i="6"/>
  <c r="D8" i="6"/>
  <c r="D20" i="6"/>
  <c r="D6" i="6"/>
  <c r="D13" i="6"/>
  <c r="H24" i="6"/>
  <c r="M19" i="9"/>
  <c r="C118" i="9"/>
  <c r="C14" i="74"/>
  <c r="B2" i="74"/>
  <c r="C18" i="4"/>
  <c r="D11" i="6"/>
  <c r="E61" i="40"/>
  <c r="D15" i="6"/>
  <c r="D14" i="6"/>
  <c r="D12" i="6"/>
  <c r="D29" i="6"/>
  <c r="H26" i="6"/>
  <c r="D21" i="6"/>
  <c r="D10" i="6"/>
  <c r="D23" i="6"/>
  <c r="D28" i="6"/>
  <c r="D30" i="6"/>
  <c r="D26" i="6"/>
  <c r="D5" i="6"/>
  <c r="H23" i="6"/>
  <c r="H22" i="6"/>
  <c r="H65" i="40"/>
  <c r="I63" i="40"/>
  <c r="D17" i="12"/>
  <c r="C17" i="12"/>
  <c r="C14" i="12"/>
  <c r="I70" i="39"/>
  <c r="J68" i="39"/>
  <c r="M27" i="6"/>
  <c r="I19" i="6"/>
  <c r="C50" i="34"/>
  <c r="B2" i="34"/>
  <c r="B3" i="34"/>
  <c r="C49" i="34"/>
  <c r="G40" i="36"/>
  <c r="H40" i="36"/>
  <c r="G41" i="36"/>
  <c r="H41" i="36"/>
  <c r="U7" i="33"/>
  <c r="AB7" i="33"/>
  <c r="T48" i="33"/>
  <c r="G48" i="33"/>
  <c r="C38" i="69"/>
  <c r="C35" i="69"/>
  <c r="D20" i="12"/>
  <c r="C20" i="12"/>
  <c r="D10" i="69"/>
  <c r="D10" i="68"/>
  <c r="D10" i="11"/>
  <c r="C10" i="11"/>
  <c r="E52" i="21"/>
  <c r="F52" i="21"/>
  <c r="E53" i="21"/>
  <c r="F53" i="21"/>
  <c r="C37" i="36"/>
  <c r="B2" i="36"/>
  <c r="B3" i="36"/>
  <c r="C36" i="36"/>
  <c r="I52" i="37"/>
  <c r="E53" i="34"/>
  <c r="F53" i="34"/>
  <c r="E54" i="34"/>
  <c r="F54" i="34"/>
  <c r="E38" i="35"/>
  <c r="R39" i="35"/>
  <c r="C48" i="21"/>
  <c r="C49" i="21"/>
  <c r="B2" i="21"/>
  <c r="B3" i="21"/>
  <c r="D5" i="71"/>
  <c r="M20" i="43"/>
  <c r="E40" i="36"/>
  <c r="F40" i="36"/>
  <c r="E41" i="36"/>
  <c r="F41" i="36"/>
  <c r="I42" i="35"/>
  <c r="J42" i="35"/>
  <c r="I43" i="35"/>
  <c r="J43" i="35"/>
  <c r="I41" i="36"/>
  <c r="J41" i="36"/>
  <c r="I40" i="36"/>
  <c r="J40" i="36"/>
  <c r="G42" i="35"/>
  <c r="H42" i="35"/>
  <c r="G43" i="35"/>
  <c r="H43" i="35"/>
  <c r="I52" i="33"/>
  <c r="J52" i="33"/>
  <c r="O14" i="1"/>
  <c r="O16" i="1"/>
  <c r="T16" i="1"/>
  <c r="M16" i="1"/>
  <c r="C20" i="11"/>
  <c r="C25" i="11"/>
  <c r="C24" i="11"/>
  <c r="C7" i="74"/>
  <c r="C8" i="74"/>
  <c r="R49" i="33"/>
  <c r="E48" i="33"/>
  <c r="I53" i="33"/>
  <c r="J53" i="33"/>
  <c r="C20" i="15"/>
  <c r="C26" i="15"/>
  <c r="C23" i="15"/>
  <c r="E29" i="43"/>
  <c r="G34" i="43"/>
  <c r="I34" i="43"/>
  <c r="E34" i="43"/>
  <c r="G36" i="43"/>
  <c r="I36" i="43"/>
  <c r="E36" i="43"/>
  <c r="G39" i="43"/>
  <c r="I39" i="43"/>
  <c r="E39" i="43"/>
  <c r="G37" i="43"/>
  <c r="I37" i="43"/>
  <c r="E37" i="43"/>
  <c r="G33" i="43"/>
  <c r="I33" i="43"/>
  <c r="E33" i="43"/>
  <c r="E35" i="43"/>
  <c r="G35" i="43"/>
  <c r="I35" i="43"/>
  <c r="G38" i="43"/>
  <c r="I38" i="43"/>
  <c r="E38" i="43"/>
  <c r="J59" i="67"/>
  <c r="J60" i="67"/>
  <c r="L46" i="67"/>
  <c r="C36" i="67"/>
  <c r="D16" i="6"/>
  <c r="C22" i="11"/>
  <c r="J19" i="67"/>
  <c r="J17" i="67"/>
  <c r="Q49" i="67"/>
  <c r="C33" i="67"/>
  <c r="C31" i="67"/>
  <c r="R26" i="6"/>
  <c r="R24" i="6"/>
  <c r="J14" i="67"/>
  <c r="J13" i="67"/>
  <c r="J23" i="67"/>
  <c r="C13" i="67"/>
  <c r="Q70" i="67"/>
  <c r="R20" i="6"/>
  <c r="C48" i="33"/>
  <c r="C49" i="33"/>
  <c r="B2" i="33"/>
  <c r="B3" i="33"/>
  <c r="S19" i="6"/>
  <c r="S27" i="6"/>
  <c r="I27" i="6"/>
  <c r="J70" i="39"/>
  <c r="K68" i="39"/>
  <c r="R21" i="6"/>
  <c r="R25" i="6"/>
  <c r="L16" i="1"/>
  <c r="N16" i="1"/>
  <c r="C34" i="11"/>
  <c r="C34" i="68"/>
  <c r="C10" i="68"/>
  <c r="B29" i="1"/>
  <c r="C8" i="68"/>
  <c r="D19" i="68"/>
  <c r="G52" i="33"/>
  <c r="H52" i="33"/>
  <c r="G53" i="33"/>
  <c r="H53" i="33"/>
  <c r="A7" i="51"/>
  <c r="B7" i="72"/>
  <c r="A10" i="51"/>
  <c r="B9" i="72"/>
  <c r="C4" i="52"/>
  <c r="B45" i="72"/>
  <c r="D27" i="6"/>
  <c r="D31" i="6"/>
  <c r="C64" i="67"/>
  <c r="C61" i="67"/>
  <c r="C59" i="67"/>
  <c r="C10" i="69"/>
  <c r="C8" i="69"/>
  <c r="C5" i="69"/>
  <c r="D19" i="69"/>
  <c r="R23" i="6"/>
  <c r="D8" i="74"/>
  <c r="D7" i="74"/>
  <c r="C38" i="35"/>
  <c r="C39" i="35"/>
  <c r="B2" i="35"/>
  <c r="B3" i="35"/>
  <c r="E52" i="33"/>
  <c r="F52" i="33"/>
  <c r="E53" i="33"/>
  <c r="F53" i="33"/>
  <c r="C28" i="11"/>
  <c r="C27" i="11"/>
  <c r="P14" i="1"/>
  <c r="P16" i="1"/>
  <c r="C11" i="12"/>
  <c r="E43" i="35"/>
  <c r="F43" i="35"/>
  <c r="E42" i="35"/>
  <c r="F42" i="35"/>
  <c r="J52" i="37"/>
  <c r="J63" i="40"/>
  <c r="I65" i="40"/>
  <c r="H19" i="6"/>
  <c r="H27" i="6"/>
  <c r="R22" i="6"/>
  <c r="C29" i="15"/>
  <c r="C26" i="43"/>
  <c r="B2" i="43"/>
  <c r="C6" i="68"/>
  <c r="C7" i="68"/>
  <c r="C27" i="43"/>
  <c r="J22" i="67"/>
  <c r="J16" i="67"/>
  <c r="J25" i="67"/>
  <c r="Q48" i="67"/>
  <c r="C18" i="12"/>
  <c r="C37" i="67"/>
  <c r="C30" i="67"/>
  <c r="C39" i="67"/>
  <c r="C40" i="67"/>
  <c r="C31" i="11"/>
  <c r="C75" i="67"/>
  <c r="C56" i="67"/>
  <c r="C65" i="67"/>
  <c r="C58" i="67"/>
  <c r="C67" i="67"/>
  <c r="C68" i="67"/>
  <c r="C71" i="67"/>
  <c r="R19" i="6"/>
  <c r="K63" i="40"/>
  <c r="J65" i="40"/>
  <c r="C19" i="69"/>
  <c r="C24" i="69"/>
  <c r="D37" i="69"/>
  <c r="C37" i="69"/>
  <c r="C33" i="69"/>
  <c r="C19" i="68"/>
  <c r="D37" i="68"/>
  <c r="C37" i="68"/>
  <c r="C38" i="68"/>
  <c r="C35" i="68"/>
  <c r="C23" i="69"/>
  <c r="C38" i="11"/>
  <c r="C35" i="11"/>
  <c r="C12" i="12"/>
  <c r="C15" i="12"/>
  <c r="I6" i="6"/>
  <c r="I5" i="6"/>
  <c r="F50" i="69"/>
  <c r="F50" i="68"/>
  <c r="F50" i="11"/>
  <c r="K52" i="37"/>
  <c r="L68" i="39"/>
  <c r="K70" i="39"/>
  <c r="E6" i="76"/>
  <c r="L51" i="67"/>
  <c r="B6" i="76"/>
  <c r="J14" i="15"/>
  <c r="J19" i="15"/>
  <c r="C33" i="15"/>
  <c r="J59" i="15"/>
  <c r="J60" i="15"/>
  <c r="Q48" i="15"/>
  <c r="Q49" i="15"/>
  <c r="C13" i="15"/>
  <c r="C57" i="15"/>
  <c r="C36" i="15"/>
  <c r="C5" i="68"/>
  <c r="C23" i="68"/>
  <c r="E2" i="76"/>
  <c r="B2" i="76"/>
  <c r="B3" i="43"/>
  <c r="Q69" i="67"/>
  <c r="Q68" i="67"/>
  <c r="C80" i="67"/>
  <c r="C79" i="67"/>
  <c r="R27" i="6"/>
  <c r="R6" i="1"/>
  <c r="C33" i="11"/>
  <c r="C39" i="11"/>
  <c r="C43" i="11"/>
  <c r="C45" i="67"/>
  <c r="C46" i="67"/>
  <c r="C33" i="68"/>
  <c r="C42" i="68"/>
  <c r="C20" i="69"/>
  <c r="C16" i="12"/>
  <c r="C21" i="12"/>
  <c r="C22" i="12"/>
  <c r="C30" i="12"/>
  <c r="C28" i="12"/>
  <c r="Q67" i="67"/>
  <c r="L57" i="67"/>
  <c r="L60" i="67"/>
  <c r="M68" i="39"/>
  <c r="L70" i="39"/>
  <c r="L52" i="37"/>
  <c r="Q47" i="67"/>
  <c r="Q53" i="67"/>
  <c r="Q65" i="67"/>
  <c r="Q56" i="67"/>
  <c r="C43" i="67"/>
  <c r="D2" i="67"/>
  <c r="C83" i="67"/>
  <c r="C82" i="67"/>
  <c r="C20" i="68"/>
  <c r="C25" i="68"/>
  <c r="C24" i="68"/>
  <c r="L63" i="40"/>
  <c r="K65" i="40"/>
  <c r="C39" i="69"/>
  <c r="C43" i="69"/>
  <c r="C42" i="69"/>
  <c r="F35" i="15"/>
  <c r="M21" i="15"/>
  <c r="C61" i="15"/>
  <c r="C64" i="15"/>
  <c r="Q70" i="15"/>
  <c r="C56" i="15"/>
  <c r="C65" i="15"/>
  <c r="C75" i="15"/>
  <c r="C37" i="15"/>
  <c r="J13" i="15"/>
  <c r="J23" i="15"/>
  <c r="J22" i="15"/>
  <c r="F63" i="15"/>
  <c r="C62" i="15"/>
  <c r="C59" i="15"/>
  <c r="C34" i="15"/>
  <c r="C31" i="15"/>
  <c r="C30" i="15"/>
  <c r="C39" i="15"/>
  <c r="J20" i="15"/>
  <c r="J17" i="15"/>
  <c r="R16" i="1"/>
  <c r="B3" i="76"/>
  <c r="C42" i="11"/>
  <c r="C41" i="11"/>
  <c r="C39" i="68"/>
  <c r="C43" i="68"/>
  <c r="C41" i="68"/>
  <c r="C25" i="69"/>
  <c r="C22" i="69"/>
  <c r="C28" i="69"/>
  <c r="C27" i="69"/>
  <c r="C27" i="12"/>
  <c r="C25" i="12"/>
  <c r="C32" i="12"/>
  <c r="B2" i="12"/>
  <c r="B3" i="12"/>
  <c r="C28" i="68"/>
  <c r="C27" i="68"/>
  <c r="C46" i="11"/>
  <c r="C45" i="11"/>
  <c r="M70" i="39"/>
  <c r="N68" i="39"/>
  <c r="Q57" i="67"/>
  <c r="Q62" i="67"/>
  <c r="Q66" i="67"/>
  <c r="Q75" i="67"/>
  <c r="M63" i="40"/>
  <c r="L65" i="40"/>
  <c r="C41" i="69"/>
  <c r="B3" i="67"/>
  <c r="B2" i="67"/>
  <c r="C46" i="69"/>
  <c r="C45" i="69"/>
  <c r="C22" i="68"/>
  <c r="M52" i="37"/>
  <c r="L51" i="15"/>
  <c r="J16" i="15"/>
  <c r="J25" i="15"/>
  <c r="C58" i="15"/>
  <c r="C67" i="15"/>
  <c r="C68" i="15"/>
  <c r="C71" i="15"/>
  <c r="L57" i="15"/>
  <c r="L60" i="15"/>
  <c r="Q67" i="15"/>
  <c r="Q69" i="15"/>
  <c r="Q68" i="15"/>
  <c r="C40" i="15"/>
  <c r="C80" i="15"/>
  <c r="C79" i="15"/>
  <c r="C31" i="69"/>
  <c r="C49" i="11"/>
  <c r="C51" i="11"/>
  <c r="C52" i="11"/>
  <c r="B2" i="11"/>
  <c r="B3" i="11"/>
  <c r="C46" i="68"/>
  <c r="C45" i="68"/>
  <c r="C49" i="68"/>
  <c r="C51" i="68"/>
  <c r="C31" i="68"/>
  <c r="O68" i="39"/>
  <c r="O70" i="39"/>
  <c r="N70" i="39"/>
  <c r="N63" i="40"/>
  <c r="M65" i="40"/>
  <c r="N52" i="37"/>
  <c r="O52" i="37"/>
  <c r="H7" i="37"/>
  <c r="F7" i="37"/>
  <c r="J7" i="37"/>
  <c r="C49" i="69"/>
  <c r="C51" i="69"/>
  <c r="Q65" i="15"/>
  <c r="Q56" i="15"/>
  <c r="Q47" i="15"/>
  <c r="Q53" i="15"/>
  <c r="C46" i="15"/>
  <c r="C43" i="15"/>
  <c r="C83" i="15"/>
  <c r="C82" i="15"/>
  <c r="L46" i="15"/>
  <c r="B2" i="15"/>
  <c r="Q57" i="15"/>
  <c r="Q66" i="15"/>
  <c r="Q75" i="15"/>
  <c r="C52" i="68"/>
  <c r="B2" i="68"/>
  <c r="C52" i="69"/>
  <c r="B2" i="69"/>
  <c r="B3" i="69"/>
  <c r="AC7" i="37"/>
  <c r="V42" i="37"/>
  <c r="I42" i="37"/>
  <c r="W7" i="37"/>
  <c r="N65" i="40"/>
  <c r="O63" i="40"/>
  <c r="O65" i="40"/>
  <c r="S7" i="37"/>
  <c r="AA7" i="37"/>
  <c r="R42" i="37"/>
  <c r="U7" i="37"/>
  <c r="AB7" i="37"/>
  <c r="T42" i="37"/>
  <c r="G42" i="37"/>
  <c r="F7" i="39"/>
  <c r="H7" i="39"/>
  <c r="J7" i="39"/>
  <c r="C56" i="11"/>
  <c r="C57" i="11"/>
  <c r="AO6" i="1"/>
  <c r="D19" i="9"/>
  <c r="C19" i="9"/>
  <c r="D102" i="9"/>
  <c r="D21" i="9"/>
  <c r="C102" i="9"/>
  <c r="G19" i="9"/>
  <c r="D22" i="9"/>
  <c r="C21" i="9"/>
  <c r="B3" i="68"/>
  <c r="Q62" i="15"/>
  <c r="B6" i="70"/>
  <c r="B2" i="70"/>
  <c r="B3" i="70"/>
  <c r="B3" i="15"/>
  <c r="C57" i="68"/>
  <c r="C56" i="68"/>
  <c r="U7" i="39"/>
  <c r="AB7" i="39"/>
  <c r="T47" i="39"/>
  <c r="G47" i="39"/>
  <c r="E42" i="37"/>
  <c r="R43" i="37"/>
  <c r="S7" i="39"/>
  <c r="AA7" i="39"/>
  <c r="R47" i="39"/>
  <c r="I47" i="37"/>
  <c r="J47" i="37"/>
  <c r="I46" i="37"/>
  <c r="J46" i="37"/>
  <c r="G46" i="37"/>
  <c r="H46" i="37"/>
  <c r="G47" i="37"/>
  <c r="H47" i="37"/>
  <c r="F7" i="40"/>
  <c r="J7" i="40"/>
  <c r="H7" i="40"/>
  <c r="W7" i="39"/>
  <c r="AC7" i="39"/>
  <c r="V47" i="39"/>
  <c r="I47" i="39"/>
  <c r="C57" i="69"/>
  <c r="C56" i="69"/>
  <c r="D35" i="9"/>
  <c r="D34" i="9"/>
  <c r="C20" i="9"/>
  <c r="D20" i="9"/>
  <c r="D103" i="9"/>
  <c r="C103" i="9"/>
  <c r="G20" i="9"/>
  <c r="C32" i="9"/>
  <c r="G21" i="9"/>
  <c r="C42" i="37"/>
  <c r="C43" i="37"/>
  <c r="B2" i="37"/>
  <c r="B3" i="37"/>
  <c r="S7" i="40"/>
  <c r="AA7" i="40"/>
  <c r="R42" i="40"/>
  <c r="E47" i="37"/>
  <c r="F47" i="37"/>
  <c r="E46" i="37"/>
  <c r="F46" i="37"/>
  <c r="W7" i="40"/>
  <c r="AC7" i="40"/>
  <c r="V42" i="40"/>
  <c r="I42" i="40"/>
  <c r="I51" i="39"/>
  <c r="J51" i="39"/>
  <c r="E47" i="39"/>
  <c r="R48" i="39"/>
  <c r="G51" i="39"/>
  <c r="H51" i="39"/>
  <c r="G52" i="39"/>
  <c r="H52" i="39"/>
  <c r="AB7" i="40"/>
  <c r="T42" i="40"/>
  <c r="G42" i="40"/>
  <c r="U7" i="40"/>
  <c r="H118" i="9"/>
  <c r="C35" i="9"/>
  <c r="F118" i="9"/>
  <c r="E42" i="40"/>
  <c r="R43" i="40"/>
  <c r="I47" i="40"/>
  <c r="J47" i="40"/>
  <c r="I46" i="40"/>
  <c r="J46" i="40"/>
  <c r="G47" i="40"/>
  <c r="H47" i="40"/>
  <c r="G46" i="40"/>
  <c r="H46" i="40"/>
  <c r="E52" i="39"/>
  <c r="F52" i="39"/>
  <c r="E51" i="39"/>
  <c r="F51" i="39"/>
  <c r="C47" i="39"/>
  <c r="C48" i="39"/>
  <c r="I52" i="39"/>
  <c r="J52" i="39"/>
  <c r="C34" i="9"/>
  <c r="D118" i="9"/>
  <c r="D119" i="9"/>
  <c r="D5" i="52"/>
  <c r="F119" i="9"/>
  <c r="F5" i="52"/>
  <c r="F4" i="52"/>
  <c r="G118" i="9"/>
  <c r="G4" i="52"/>
  <c r="D4" i="52"/>
  <c r="H4" i="52"/>
  <c r="H101" i="9"/>
  <c r="H119" i="9"/>
  <c r="H5" i="52"/>
  <c r="D14" i="74"/>
  <c r="C104" i="9"/>
  <c r="I118" i="9"/>
  <c r="B59" i="39"/>
  <c r="F59" i="39"/>
  <c r="B63" i="39"/>
  <c r="F63" i="39"/>
  <c r="B58" i="39"/>
  <c r="F58" i="39"/>
  <c r="B57" i="39"/>
  <c r="F57" i="39"/>
  <c r="B64" i="39"/>
  <c r="F64" i="39"/>
  <c r="B61" i="39"/>
  <c r="F61" i="39"/>
  <c r="B62" i="39"/>
  <c r="F62" i="39"/>
  <c r="B56" i="39"/>
  <c r="F56" i="39"/>
  <c r="F66" i="39"/>
  <c r="B2" i="39"/>
  <c r="B3" i="39"/>
  <c r="B65" i="39"/>
  <c r="F65" i="39"/>
  <c r="B60" i="39"/>
  <c r="F60" i="39"/>
  <c r="C43" i="40"/>
  <c r="C42" i="40"/>
  <c r="E46" i="40"/>
  <c r="F46" i="40"/>
  <c r="E47" i="40"/>
  <c r="F47" i="40"/>
  <c r="B52" i="72"/>
  <c r="B51" i="72"/>
  <c r="B53" i="72"/>
  <c r="B47" i="72"/>
  <c r="B49" i="72"/>
  <c r="H102" i="9"/>
  <c r="D7" i="53"/>
  <c r="I4" i="52"/>
  <c r="C105" i="9"/>
  <c r="E118" i="9"/>
  <c r="E4" i="52"/>
  <c r="D5" i="53"/>
  <c r="M48" i="9"/>
  <c r="H107" i="9"/>
  <c r="D45" i="9"/>
  <c r="B5" i="74"/>
  <c r="E14" i="74"/>
  <c r="F14" i="74"/>
  <c r="B55" i="40"/>
  <c r="F55" i="40"/>
  <c r="B56" i="40"/>
  <c r="F56" i="40"/>
  <c r="B58" i="40"/>
  <c r="F58" i="40"/>
  <c r="B60" i="40"/>
  <c r="F60" i="40"/>
  <c r="B54" i="40"/>
  <c r="F54" i="40"/>
  <c r="B59" i="40"/>
  <c r="F59" i="40"/>
  <c r="B57" i="40"/>
  <c r="F57" i="40"/>
  <c r="B51" i="40"/>
  <c r="F51" i="40"/>
  <c r="F61" i="40"/>
  <c r="B2" i="40"/>
  <c r="B3" i="40"/>
  <c r="B53" i="40"/>
  <c r="F53" i="40"/>
  <c r="B52" i="40"/>
  <c r="F52" i="40"/>
  <c r="B21" i="72"/>
  <c r="B48" i="72"/>
  <c r="C72" i="9"/>
  <c r="C78" i="9"/>
  <c r="C73" i="9"/>
  <c r="C93" i="9"/>
  <c r="C86" i="9"/>
  <c r="D52" i="9"/>
  <c r="D53" i="9"/>
  <c r="C85" i="9"/>
  <c r="D55" i="9"/>
  <c r="M53" i="9"/>
  <c r="C64" i="9"/>
  <c r="C63" i="9"/>
  <c r="C67" i="9"/>
  <c r="C68" i="9"/>
  <c r="D54" i="9"/>
  <c r="M49" i="9"/>
  <c r="D13" i="53"/>
  <c r="H108" i="9"/>
  <c r="D15" i="53"/>
  <c r="D122" i="9"/>
  <c r="D5" i="74"/>
  <c r="C5" i="74"/>
  <c r="B20" i="72"/>
  <c r="D6" i="53"/>
  <c r="B22" i="72"/>
  <c r="B31" i="72"/>
  <c r="D8" i="52"/>
  <c r="D123" i="9"/>
  <c r="D9" i="52"/>
  <c r="G14" i="74"/>
  <c r="B6" i="74"/>
  <c r="D14" i="53"/>
  <c r="B30" i="72"/>
  <c r="C95" i="9"/>
  <c r="L63" i="9"/>
  <c r="M63" i="9"/>
  <c r="L65" i="9"/>
  <c r="M65" i="9"/>
  <c r="L66" i="9"/>
  <c r="M66" i="9"/>
  <c r="L68" i="9"/>
  <c r="M68" i="9"/>
  <c r="L64" i="9"/>
  <c r="M64" i="9"/>
  <c r="L67" i="9"/>
  <c r="M67" i="9"/>
  <c r="C79" i="9"/>
  <c r="B32" i="72"/>
  <c r="M69" i="9"/>
  <c r="N69" i="9"/>
  <c r="D6" i="74"/>
  <c r="C6" i="74"/>
  <c r="C80" i="9"/>
  <c r="E80" i="9"/>
  <c r="E81" i="9"/>
  <c r="C96" i="9"/>
  <c r="E96" i="9"/>
  <c r="E97" i="9"/>
  <c r="C97" i="9"/>
  <c r="D58" i="9"/>
  <c r="D56" i="9"/>
  <c r="M54" i="9"/>
  <c r="N57" i="9"/>
  <c r="P57" i="9"/>
  <c r="C81" i="9"/>
  <c r="N59" i="9"/>
  <c r="N60" i="9"/>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<sst xmlns="http://schemas.openxmlformats.org/spreadsheetml/2006/main" count="7365" uniqueCount="3133">
  <si>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</si>
  <si>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</si>
  <si>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</si>
  <si>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</si>
  <si>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</si>
  <si>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</si>
  <si>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</si>
  <si>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</si>
  <si>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</si>
  <si>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</si>
  <si>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</si>
  <si>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</si>
  <si>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</si>
  <si>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</si>
  <si>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</si>
  <si>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</si>
  <si>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</si>
  <si>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</si>
  <si>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</si>
  <si>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</si>
  <si>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</si>
  <si>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</si>
  <si>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</si>
  <si>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</si>
  <si>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</si>
  <si>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</si>
  <si>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</si>
  <si>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</si>
  <si>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</si>
  <si>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</si>
  <si>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</si>
  <si>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</si>
  <si>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</si>
  <si>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</si>
  <si>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</si>
  <si>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</si>
  <si>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</si>
  <si>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</si>
  <si>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</si>
  <si>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</si>
  <si>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</si>
  <si>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</si>
  <si>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</si>
  <si>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</si>
  <si>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</si>
  <si>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</si>
  <si>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</si>
  <si>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</si>
  <si>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</si>
  <si>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</si>
  <si>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</si>
  <si>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</si>
  <si>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</si>
  <si>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</si>
  <si>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</si>
  <si>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</si>
  <si>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</si>
  <si>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</si>
  <si>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</si>
  <si>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</si>
  <si>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</si>
  <si>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</si>
  <si>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</si>
  <si>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</si>
  <si>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</si>
  <si>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</si>
  <si>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</si>
  <si>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</si>
  <si>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</si>
  <si>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</si>
  <si>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</si>
  <si>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</si>
  <si>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</si>
  <si>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</si>
  <si>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</si>
  <si>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</si>
  <si>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</si>
  <si>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</si>
  <si>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</si>
  <si>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</si>
  <si>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</si>
  <si>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</si>
  <si>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</si>
  <si>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</si>
  <si>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</si>
  <si>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</si>
  <si>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</si>
  <si>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</si>
  <si>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</si>
  <si>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</si>
  <si>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</si>
  <si>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</si>
  <si>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</si>
  <si>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</si>
  <si>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</si>
  <si>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</si>
  <si>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</si>
  <si>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</si>
  <si>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</si>
  <si>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</si>
  <si>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</si>
  <si>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</si>
  <si>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</si>
  <si>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</si>
  <si>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</si>
  <si>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</si>
  <si>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</si>
  <si>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</si>
  <si>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</si>
  <si>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</si>
  <si>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</si>
  <si>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</si>
  <si>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</si>
  <si>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</si>
  <si>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</si>
  <si>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</si>
  <si>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</si>
  <si>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</si>
  <si>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</si>
  <si>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</si>
  <si>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</si>
  <si>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</si>
  <si>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</si>
  <si>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</si>
  <si>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</si>
  <si>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</si>
  <si>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</si>
  <si>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</si>
  <si>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</si>
  <si>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</si>
  <si>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</si>
  <si>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</si>
  <si>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</si>
  <si>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</si>
  <si>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</si>
  <si>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</si>
  <si>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</si>
  <si>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</si>
  <si>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</si>
  <si>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</si>
  <si>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</si>
  <si>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</si>
  <si>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</si>
  <si>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</si>
  <si>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</si>
  <si>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</si>
  <si>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</si>
  <si>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</si>
  <si>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</si>
  <si>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</si>
  <si>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</si>
  <si>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</si>
  <si>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</si>
  <si>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</si>
  <si>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</si>
  <si>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</si>
  <si>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</si>
  <si>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</si>
  <si>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</si>
  <si>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</si>
  <si>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</si>
  <si>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</si>
  <si>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</si>
  <si>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</si>
  <si>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</si>
  <si>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</si>
  <si>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</si>
  <si>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</si>
  <si>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</si>
  <si>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</si>
  <si>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</si>
  <si>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</si>
  <si>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</si>
  <si>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</si>
  <si>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</si>
  <si>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</si>
  <si>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</si>
  <si>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</si>
  <si>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</si>
  <si>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</si>
  <si>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</si>
  <si>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</si>
  <si>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</si>
  <si>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</si>
  <si>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</si>
  <si>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</si>
  <si>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</si>
  <si>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</si>
  <si>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</si>
  <si>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</si>
  <si>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</si>
  <si>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</si>
  <si>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</si>
  <si>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</si>
  <si>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</si>
  <si>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</si>
  <si>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</si>
  <si>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</si>
  <si>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</si>
  <si>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</si>
  <si>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</si>
  <si>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</si>
  <si>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</si>
  <si>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</si>
  <si>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</si>
  <si>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</si>
  <si>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</si>
  <si>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</si>
  <si>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</si>
  <si>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</si>
  <si>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</si>
  <si>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</si>
  <si>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</si>
  <si>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</si>
  <si>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</si>
  <si>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</si>
  <si>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</si>
  <si>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</si>
  <si>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</si>
  <si>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</si>
  <si>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</si>
  <si>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</si>
  <si>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</si>
  <si>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</si>
  <si>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</si>
  <si>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</si>
  <si>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</si>
  <si>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</si>
  <si>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</si>
  <si>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</si>
  <si>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</si>
  <si>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</si>
  <si>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</si>
  <si>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</si>
  <si>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</si>
  <si>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</si>
  <si>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</si>
  <si>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</si>
  <si>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</si>
  <si>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</si>
  <si>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</si>
  <si>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</si>
  <si>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</si>
  <si>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</si>
  <si>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</si>
  <si>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</si>
  <si>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</si>
  <si>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</si>
  <si>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</si>
  <si>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</si>
  <si>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</si>
  <si>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</si>
  <si>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</si>
  <si>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</si>
  <si>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</si>
  <si>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</si>
  <si>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</si>
  <si>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</si>
  <si>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</si>
  <si>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</si>
  <si>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</si>
  <si>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</si>
  <si>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</si>
  <si>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</si>
  <si>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</si>
  <si>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</si>
  <si>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</si>
  <si>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</si>
  <si>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</si>
  <si>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</si>
  <si>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</si>
  <si>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</si>
  <si>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</si>
  <si>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</si>
  <si>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</si>
  <si>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</si>
  <si>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</si>
  <si>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</si>
  <si>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</si>
  <si>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</si>
  <si>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</si>
  <si>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</si>
  <si>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</si>
  <si>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</si>
  <si>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</si>
  <si>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</si>
  <si>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</si>
  <si>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</si>
  <si>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</si>
  <si>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</si>
  <si>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</si>
  <si>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</si>
  <si>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</si>
  <si>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</si>
  <si>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</si>
  <si>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</si>
  <si>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</si>
  <si>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</si>
  <si>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</si>
  <si>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</si>
  <si>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</si>
  <si>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</si>
  <si>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</si>
  <si>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</si>
  <si>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</si>
  <si>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</si>
  <si>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</si>
  <si>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</si>
  <si>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</si>
  <si>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</si>
  <si>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</si>
  <si>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</si>
  <si>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</si>
  <si>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</si>
  <si>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</si>
  <si>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</si>
  <si>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</si>
  <si>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</si>
  <si>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</si>
  <si>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</si>
  <si>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</si>
  <si>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</si>
  <si>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</si>
  <si>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</si>
  <si>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</si>
  <si>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</si>
  <si>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</si>
  <si>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</si>
  <si>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</si>
  <si>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</si>
  <si>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</si>
  <si>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</si>
  <si>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</si>
  <si>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</si>
  <si>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</si>
  <si>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</si>
  <si>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</si>
  <si>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</si>
  <si>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</si>
  <si>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</si>
  <si>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</si>
  <si>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</si>
  <si>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</si>
  <si>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</si>
  <si>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</si>
  <si>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</si>
  <si>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</si>
  <si>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</si>
  <si>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</si>
  <si>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</si>
  <si>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</si>
  <si>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</si>
  <si>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</si>
  <si>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</si>
  <si>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</si>
  <si>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</si>
  <si>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</si>
  <si>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</si>
  <si>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</si>
  <si>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</si>
  <si>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</si>
  <si>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</si>
  <si>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</si>
  <si>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</si>
  <si>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</si>
  <si>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</si>
  <si>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</si>
  <si>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</si>
  <si>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</si>
  <si>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</si>
  <si>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</si>
  <si>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</si>
  <si>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</si>
  <si>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</si>
  <si>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</si>
  <si>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</si>
  <si>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</si>
  <si>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</si>
  <si>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</si>
  <si>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</si>
  <si>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</si>
  <si>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</si>
  <si>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</si>
  <si>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</si>
  <si>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</si>
  <si>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</si>
  <si>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</si>
  <si>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</si>
  <si>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</si>
  <si>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</si>
  <si>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</si>
  <si>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</si>
  <si>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</si>
  <si>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</si>
  <si>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</si>
  <si>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</si>
  <si>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</si>
  <si>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</si>
  <si>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</si>
  <si>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</si>
  <si>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</si>
  <si>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</si>
  <si>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</si>
  <si>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</si>
  <si>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</si>
  <si>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</si>
  <si>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</si>
  <si>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</si>
  <si>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</si>
  <si>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</si>
  <si>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</si>
  <si>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</si>
  <si>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</si>
  <si>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</si>
  <si>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</si>
  <si>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</si>
  <si>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</si>
  <si>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</si>
  <si>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</si>
  <si>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</si>
  <si>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</si>
  <si>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</si>
  <si>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</si>
  <si>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</si>
  <si>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</si>
  <si>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</si>
  <si>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</si>
  <si>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</si>
  <si>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</si>
  <si>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</si>
  <si>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</si>
  <si>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</si>
  <si>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</si>
  <si>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</si>
  <si>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</si>
  <si>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</si>
  <si>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</si>
  <si>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</si>
  <si>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</si>
  <si>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</si>
  <si>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</si>
  <si>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</si>
  <si>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</si>
  <si>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</si>
  <si>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</si>
  <si>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</si>
  <si>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</si>
  <si>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</si>
  <si>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</si>
  <si>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</si>
  <si>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</si>
  <si>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</si>
  <si>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</si>
  <si>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</si>
  <si>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</si>
  <si>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</si>
  <si>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</si>
  <si>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</si>
  <si>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</si>
  <si>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</si>
  <si>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</si>
  <si>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</si>
  <si>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</si>
  <si>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</si>
  <si>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</si>
  <si>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</si>
  <si>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</si>
  <si>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</si>
  <si>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</si>
  <si>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</si>
  <si>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</si>
  <si>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</si>
  <si>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</si>
  <si>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</si>
  <si>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</si>
  <si>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</si>
  <si>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</si>
  <si>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</si>
  <si>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</si>
  <si>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</si>
  <si>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</si>
  <si>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</si>
  <si>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</si>
  <si>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</si>
  <si>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</si>
  <si>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</si>
  <si>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</si>
  <si>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</si>
  <si>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</si>
  <si>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</si>
  <si>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</si>
  <si>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</si>
  <si>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</si>
  <si>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</si>
  <si>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</si>
  <si>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</si>
  <si>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</si>
  <si>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</si>
  <si>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</si>
  <si>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</si>
  <si>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</si>
  <si>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</si>
  <si>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</si>
  <si>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</si>
  <si>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</si>
  <si>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</si>
  <si>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</si>
  <si>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</si>
  <si>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</si>
  <si>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</si>
  <si>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</si>
  <si>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</si>
  <si>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</si>
  <si>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</si>
  <si>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</si>
  <si>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</si>
  <si>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</si>
  <si>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</si>
  <si>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</si>
  <si>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</si>
  <si>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</si>
  <si>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</si>
  <si>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</si>
  <si>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</si>
  <si>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</si>
  <si>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</si>
  <si>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</si>
  <si>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</si>
  <si>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</si>
  <si>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</si>
  <si>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</si>
  <si>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</si>
  <si>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</si>
  <si>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</si>
  <si>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</si>
  <si>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</si>
  <si>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</si>
  <si>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</si>
  <si>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</si>
  <si>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</si>
  <si>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</si>
  <si>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</si>
  <si>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</si>
  <si>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</si>
  <si>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</si>
  <si>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</si>
  <si>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</si>
  <si>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</si>
  <si>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</si>
  <si>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</si>
  <si>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</si>
  <si>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</si>
  <si>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</si>
  <si>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</si>
  <si>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</si>
  <si>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</si>
  <si>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</si>
  <si>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</si>
  <si>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</si>
  <si>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</si>
  <si>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</si>
  <si>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</si>
  <si>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</si>
  <si>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</si>
  <si>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</si>
  <si>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</si>
  <si>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</si>
  <si>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</si>
  <si>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</si>
  <si>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</si>
  <si>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</si>
  <si>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</si>
  <si>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</si>
  <si>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</si>
  <si>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</si>
  <si>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</si>
  <si>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</si>
  <si>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</si>
  <si>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</si>
  <si>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</si>
  <si>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</si>
  <si>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</si>
  <si>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</si>
  <si>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</si>
  <si>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</si>
  <si>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</si>
  <si>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</si>
  <si>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</si>
  <si>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</si>
  <si>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</si>
  <si>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</si>
  <si>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</si>
  <si>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</si>
  <si>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</si>
  <si>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</si>
  <si>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</si>
  <si>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</si>
  <si>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</si>
  <si>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</si>
  <si>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</si>
  <si>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</si>
  <si>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</si>
  <si>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</si>
  <si>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</si>
  <si>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</si>
  <si>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</si>
  <si>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</si>
  <si>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</si>
  <si>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</si>
  <si>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</si>
  <si>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</si>
  <si>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</si>
  <si>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</si>
  <si>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</si>
  <si>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</si>
  <si>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</si>
  <si>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</si>
  <si>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</si>
  <si>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</si>
  <si>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</si>
  <si>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</si>
  <si>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</si>
  <si>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</si>
  <si>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</si>
  <si>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</si>
  <si>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</si>
  <si>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</si>
  <si>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</si>
  <si>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</si>
  <si>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</si>
  <si>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</si>
  <si>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</si>
  <si>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</si>
  <si>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</si>
  <si>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</si>
  <si>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</si>
  <si>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</si>
  <si>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</si>
  <si>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</si>
  <si>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</si>
  <si>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</si>
  <si>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</si>
  <si>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</si>
  <si>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</si>
  <si>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</si>
  <si>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</si>
  <si>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</si>
  <si>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</si>
  <si>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</si>
  <si>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</si>
  <si>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</si>
  <si>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</si>
  <si>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</si>
  <si>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</si>
  <si>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</si>
  <si>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</si>
  <si>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</si>
  <si>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</si>
  <si>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</si>
  <si>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</si>
  <si>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</si>
  <si>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</si>
  <si>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</si>
  <si>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</si>
  <si>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</si>
  <si>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</si>
  <si>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</si>
  <si>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</si>
  <si>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</si>
  <si>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</si>
  <si>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</si>
  <si>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</si>
  <si>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</si>
  <si>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</si>
  <si>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</si>
  <si>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</si>
  <si>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</si>
  <si>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</si>
  <si>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</si>
  <si>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</si>
  <si>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</si>
  <si>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</si>
  <si>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</si>
  <si>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</si>
  <si>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</si>
  <si>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</si>
  <si>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</si>
  <si>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</si>
  <si>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</si>
  <si>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</si>
  <si>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</si>
  <si>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</si>
  <si>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</si>
  <si>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</si>
  <si>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</si>
  <si>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</si>
  <si>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</si>
  <si>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</si>
  <si>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</si>
  <si>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</si>
  <si>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</si>
  <si>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</si>
  <si>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</si>
  <si>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</si>
  <si>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</si>
  <si>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</si>
  <si>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</si>
  <si>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</si>
  <si>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</si>
  <si>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</si>
  <si>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</si>
  <si>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</si>
  <si>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</si>
  <si>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</si>
  <si>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</si>
  <si>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</si>
  <si>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</si>
  <si>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</si>
  <si>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</si>
  <si>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</si>
  <si>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</si>
  <si>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</si>
  <si>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</si>
  <si>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</si>
  <si>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</si>
  <si>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</si>
  <si>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</si>
  <si>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</si>
  <si>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</si>
  <si>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</si>
  <si>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</si>
  <si>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</si>
  <si>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</si>
  <si>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</si>
  <si>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</si>
  <si>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</si>
  <si>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</si>
  <si>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</si>
  <si>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</si>
  <si>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</si>
  <si>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</si>
  <si>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</si>
  <si>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</si>
  <si>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</si>
  <si>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</si>
  <si>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</si>
  <si>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</si>
  <si>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</si>
  <si>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</si>
  <si>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</si>
  <si>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</si>
  <si>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</si>
  <si>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</si>
  <si>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</si>
  <si>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</si>
  <si>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</si>
  <si>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</si>
  <si>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</si>
  <si>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</si>
  <si>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</si>
  <si>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</si>
  <si>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</si>
  <si>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</si>
  <si>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</si>
  <si>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</si>
  <si>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</si>
  <si>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</si>
  <si>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</si>
  <si>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</si>
  <si>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</si>
  <si>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</si>
  <si>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</si>
  <si>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</si>
  <si>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</si>
  <si>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</si>
  <si>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</si>
  <si>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</si>
  <si>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</si>
  <si>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</si>
  <si>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</si>
  <si>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</si>
  <si>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</si>
  <si>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</si>
  <si>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</si>
  <si>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</si>
  <si>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</si>
  <si>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</si>
  <si>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</si>
  <si>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</si>
  <si>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</si>
  <si>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</si>
  <si>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</si>
  <si>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</si>
  <si>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</si>
  <si>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</si>
  <si>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</si>
  <si>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</si>
  <si>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</si>
  <si>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</si>
  <si>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</si>
  <si>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</si>
  <si>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</si>
  <si>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</si>
  <si>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</si>
  <si>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</si>
  <si>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</si>
  <si>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</si>
  <si>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</si>
  <si>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</si>
  <si>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</si>
  <si>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</si>
  <si>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</si>
  <si>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</si>
  <si>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</si>
  <si>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</si>
  <si>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</si>
  <si>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</si>
  <si>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</si>
  <si>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</si>
  <si>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</si>
  <si>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</si>
  <si>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</si>
  <si>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</si>
  <si>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</si>
  <si>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</si>
  <si>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</si>
  <si>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</si>
  <si>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</si>
  <si>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</si>
  <si>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</si>
  <si>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</si>
  <si>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</si>
  <si>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</si>
  <si>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</si>
  <si>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</si>
  <si>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</si>
  <si>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</si>
  <si>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</si>
  <si>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</si>
  <si>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</si>
  <si>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</si>
  <si>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</si>
  <si>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</si>
  <si>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</si>
  <si>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</si>
  <si>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</si>
  <si>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</si>
  <si>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</si>
  <si>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</si>
  <si>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</si>
  <si>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</si>
  <si>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</si>
  <si>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</si>
  <si>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</si>
  <si>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</si>
  <si>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</si>
  <si>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</si>
  <si>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</si>
  <si>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</si>
  <si>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</si>
  <si>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</si>
  <si>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</si>
  <si>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</si>
  <si>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</si>
  <si>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</si>
  <si>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</si>
  <si>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</si>
  <si>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</si>
  <si>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</si>
  <si>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</si>
  <si>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</si>
  <si>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</si>
  <si>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</si>
  <si>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</si>
  <si>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</si>
  <si>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</si>
  <si>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</si>
  <si>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</si>
  <si>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</si>
  <si>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</si>
  <si>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</si>
  <si>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</si>
  <si>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</si>
  <si>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</si>
  <si>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</si>
  <si>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</si>
  <si>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</si>
  <si>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</si>
  <si>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</si>
  <si>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</si>
  <si>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</si>
  <si>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</si>
  <si>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</si>
  <si>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</si>
  <si>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</si>
  <si>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</si>
  <si>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</si>
  <si>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</si>
  <si>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</si>
  <si>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</si>
  <si>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</si>
  <si>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</si>
  <si>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</si>
  <si>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</si>
  <si>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</si>
  <si>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</si>
  <si>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</si>
  <si>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</si>
  <si>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</si>
  <si>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</si>
  <si>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</si>
  <si>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</si>
  <si>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</si>
  <si>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</si>
  <si>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</si>
  <si>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</si>
  <si>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</si>
  <si>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</si>
  <si>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</si>
  <si>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</si>
  <si>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</si>
  <si>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</si>
  <si>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</si>
  <si>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</si>
  <si>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</si>
  <si>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</si>
  <si>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</si>
  <si>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</si>
  <si>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</si>
  <si>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</si>
  <si>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</si>
  <si>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</si>
  <si>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</si>
  <si>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</si>
  <si>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</si>
  <si>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</si>
  <si>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</si>
  <si>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</si>
  <si>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</si>
  <si>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</si>
  <si>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</si>
  <si>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</si>
  <si>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</si>
  <si>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</si>
  <si>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</si>
  <si>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</si>
  <si>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</si>
  <si>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</si>
  <si>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</si>
  <si>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</si>
  <si>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</si>
  <si>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</si>
  <si>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</si>
  <si>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</si>
  <si>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</si>
  <si>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</si>
  <si>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</si>
  <si>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</si>
  <si>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</si>
  <si>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</si>
  <si>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</si>
  <si>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</si>
  <si>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</si>
  <si>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</si>
  <si>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</si>
  <si>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</si>
  <si>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</si>
  <si>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</si>
  <si>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</si>
  <si>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</si>
  <si>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</si>
  <si>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</si>
  <si>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</si>
  <si>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</si>
  <si>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</si>
  <si>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</si>
  <si>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</si>
  <si>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</si>
  <si>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</si>
  <si>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</si>
  <si>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</si>
  <si>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</si>
  <si>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</si>
  <si>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</si>
  <si>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</si>
  <si>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</si>
  <si>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</si>
  <si>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</si>
  <si>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</si>
  <si>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</si>
  <si>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</si>
  <si>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</si>
  <si>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</si>
  <si>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</si>
  <si>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</si>
  <si>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</si>
  <si>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</si>
  <si>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</si>
  <si>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</si>
  <si>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</si>
  <si>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</si>
  <si>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</si>
  <si>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</si>
  <si>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</si>
  <si>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</si>
  <si>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</si>
  <si>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</si>
  <si>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</si>
  <si>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</si>
  <si>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</si>
  <si>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</si>
  <si>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</si>
  <si>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</si>
  <si>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</si>
  <si>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</si>
  <si>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</si>
  <si>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</si>
  <si>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</si>
  <si>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</si>
  <si>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</si>
  <si>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</si>
  <si>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</si>
  <si>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</si>
  <si>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</si>
  <si>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</si>
  <si>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</si>
  <si>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</si>
  <si>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</si>
  <si>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</si>
  <si>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</si>
  <si>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</si>
  <si>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</si>
  <si>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</si>
  <si>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</si>
  <si>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</si>
  <si>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</si>
  <si>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</si>
  <si>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</si>
  <si>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</si>
  <si>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</si>
  <si>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</si>
  <si>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</si>
  <si>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</si>
  <si>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</si>
  <si>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</si>
  <si>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</si>
  <si>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</si>
  <si>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</si>
  <si>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</si>
  <si>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</si>
  <si>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</si>
  <si>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</si>
  <si>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</si>
  <si>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</si>
  <si>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</si>
  <si>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</si>
  <si>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</si>
  <si>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</si>
  <si>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</si>
  <si>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</si>
  <si>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</si>
  <si>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</si>
  <si>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</si>
  <si>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</si>
  <si>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</si>
  <si>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</si>
  <si>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</si>
  <si>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</si>
  <si>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</si>
  <si>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</si>
  <si>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</si>
  <si>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</si>
  <si>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</si>
  <si>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</si>
  <si>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</si>
  <si>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</si>
  <si>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</si>
  <si>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</si>
  <si>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</si>
  <si>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</si>
  <si>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</si>
  <si>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</si>
  <si>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</si>
  <si>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</si>
  <si>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</si>
  <si>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</si>
  <si>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</si>
  <si>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</si>
  <si>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</si>
  <si>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</si>
  <si>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</si>
  <si>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</si>
  <si>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</si>
  <si>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</si>
  <si>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</si>
  <si>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</si>
  <si>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</si>
  <si>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</si>
  <si>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</si>
  <si>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</si>
  <si>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</si>
  <si>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</si>
  <si>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</si>
  <si>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</si>
  <si>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</si>
  <si>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</si>
  <si>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</si>
  <si>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</si>
  <si>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</si>
  <si>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</si>
  <si>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</si>
  <si>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</si>
  <si>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</si>
  <si>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</si>
  <si>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</si>
  <si>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</si>
  <si>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</si>
  <si>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</si>
  <si>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</si>
  <si>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</si>
  <si>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</si>
  <si>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</si>
  <si>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</si>
  <si>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</si>
  <si>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</si>
  <si>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</si>
  <si>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</si>
  <si>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</si>
  <si>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</si>
  <si>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</si>
  <si>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</si>
  <si>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</si>
  <si>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</si>
  <si>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</si>
  <si>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</si>
  <si>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</si>
  <si>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</si>
  <si>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</si>
  <si>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</si>
  <si>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</si>
  <si>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</si>
  <si>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</si>
  <si>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</si>
  <si>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</si>
  <si>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</si>
  <si>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</si>
  <si>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</si>
  <si>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</si>
  <si>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</si>
  <si>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</si>
  <si>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</si>
  <si>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</si>
  <si>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</si>
  <si>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</si>
  <si>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</si>
  <si>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</si>
  <si>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</si>
  <si>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</si>
  <si>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</si>
  <si>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</si>
  <si>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</si>
  <si>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</si>
  <si>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</si>
  <si>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</si>
  <si>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</si>
  <si>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</si>
  <si>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</si>
  <si>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</si>
  <si>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</si>
  <si>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</si>
  <si>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</si>
  <si>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</si>
  <si>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</si>
  <si>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</si>
  <si>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</si>
  <si>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</si>
  <si>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</si>
  <si>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</si>
  <si>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</si>
  <si>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</si>
  <si>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</si>
  <si>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</si>
  <si>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</si>
  <si>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</si>
  <si>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</si>
  <si>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</si>
  <si>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</si>
  <si>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</si>
  <si>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</si>
  <si>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</si>
  <si>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</si>
  <si>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</si>
  <si>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</si>
  <si>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</si>
  <si>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</si>
  <si>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</si>
  <si>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</si>
  <si>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</si>
  <si>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</si>
  <si>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</si>
  <si>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</si>
  <si>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</si>
  <si>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</si>
  <si>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</si>
  <si>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</si>
  <si>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</si>
  <si>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</si>
  <si>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</si>
  <si>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</si>
  <si>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</si>
  <si>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</si>
  <si>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</si>
  <si>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</si>
  <si>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</si>
  <si>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</si>
  <si>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</si>
  <si>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</si>
  <si>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</si>
  <si>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</si>
  <si>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</si>
  <si>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</si>
  <si>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</si>
  <si>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</si>
  <si>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</si>
  <si>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</si>
  <si>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</si>
  <si>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</si>
  <si>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</si>
  <si>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</si>
  <si>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</si>
  <si>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</si>
  <si>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</si>
  <si>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</si>
  <si>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</si>
  <si>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</si>
  <si>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</si>
  <si>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</si>
  <si>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</si>
  <si>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</si>
  <si>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</si>
  <si>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</si>
  <si>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</si>
  <si>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</si>
  <si>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</si>
  <si>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</si>
  <si>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</si>
  <si>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</si>
  <si>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</si>
  <si>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</si>
  <si>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</si>
  <si>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</si>
  <si>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</si>
  <si>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</si>
  <si>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</si>
  <si>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</si>
  <si>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</si>
  <si>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</si>
  <si>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</si>
  <si>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</si>
  <si>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</si>
  <si>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</si>
  <si>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</si>
  <si>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</si>
  <si>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</si>
  <si>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</si>
  <si>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</si>
  <si>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</si>
  <si>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</si>
  <si>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</si>
  <si>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</si>
  <si>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</si>
  <si>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</si>
  <si>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</si>
  <si>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</si>
  <si>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</si>
  <si>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</si>
  <si>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</si>
  <si>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</si>
  <si>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</si>
  <si>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</si>
  <si>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</si>
  <si>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</si>
  <si>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</si>
  <si>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</si>
  <si>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</si>
  <si>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</si>
  <si>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</si>
  <si>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</si>
  <si>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</si>
  <si>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</si>
  <si>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</si>
  <si>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</si>
  <si>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</si>
  <si>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</si>
  <si>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</si>
  <si>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</si>
  <si>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</si>
  <si>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</si>
  <si>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</si>
  <si>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</si>
  <si>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</si>
  <si>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</si>
  <si>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</si>
  <si>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</si>
  <si>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</si>
  <si>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</si>
  <si>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</si>
  <si>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</si>
  <si>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</si>
  <si>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</si>
  <si>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</si>
  <si>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</si>
  <si>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</si>
  <si>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</si>
  <si>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</si>
  <si>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</si>
  <si>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</si>
  <si>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</si>
  <si>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</si>
  <si>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</si>
  <si>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</si>
  <si>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</si>
  <si>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</si>
  <si>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</si>
  <si>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</si>
  <si>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</si>
  <si>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</si>
  <si>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</si>
  <si>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</si>
  <si>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</si>
  <si>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</si>
  <si>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</si>
  <si>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</si>
  <si>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</si>
  <si>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</si>
  <si>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</si>
  <si>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</si>
  <si>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</si>
  <si>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</si>
  <si>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</si>
  <si>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</si>
  <si>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</si>
  <si>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</si>
  <si>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</si>
  <si>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</si>
  <si>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</si>
  <si>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</si>
  <si>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</si>
  <si>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</si>
  <si>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</si>
  <si>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</si>
  <si>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</si>
  <si>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</si>
  <si>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</si>
  <si>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</si>
  <si>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</si>
  <si>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</si>
  <si>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</si>
  <si>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</si>
  <si>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</si>
  <si>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</si>
  <si>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</si>
  <si>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</si>
  <si>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</si>
  <si>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</si>
  <si>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</si>
  <si>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</si>
  <si>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</si>
  <si>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</si>
  <si>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</si>
  <si>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</si>
  <si>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</si>
  <si>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</si>
  <si>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</si>
  <si>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</si>
  <si>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</si>
  <si>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</si>
  <si>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</si>
  <si>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</si>
  <si>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</si>
  <si>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</si>
  <si>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</si>
  <si>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</si>
  <si>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</si>
  <si>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</si>
  <si>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</si>
  <si>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</si>
  <si>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</si>
  <si>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</si>
  <si>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</si>
  <si>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</si>
  <si>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</si>
  <si>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</si>
  <si>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</si>
  <si>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</si>
  <si>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</si>
  <si>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</si>
  <si>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</si>
  <si>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</si>
  <si>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</si>
  <si>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</si>
  <si>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</si>
  <si>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</si>
  <si>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</si>
  <si>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</si>
  <si>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</si>
  <si>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</si>
  <si>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</si>
  <si>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</si>
  <si>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</si>
  <si>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</si>
  <si>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</si>
  <si>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</si>
  <si>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</si>
  <si>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</si>
  <si>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</si>
  <si>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</si>
  <si>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</si>
  <si>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</si>
  <si>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</si>
  <si>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</si>
  <si>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</si>
  <si>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</si>
  <si>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</si>
  <si>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</si>
  <si>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</si>
  <si>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</si>
  <si>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</si>
  <si>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</si>
  <si>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</si>
  <si>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</si>
  <si>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</si>
  <si>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</si>
  <si>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</si>
  <si>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</si>
  <si>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</si>
  <si>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</si>
  <si>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</si>
  <si>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</si>
  <si>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</si>
  <si>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</si>
  <si>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</si>
  <si>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</si>
  <si>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</si>
  <si>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</si>
  <si>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</si>
  <si>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</si>
  <si>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</si>
  <si>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</si>
  <si>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</si>
  <si>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</si>
  <si>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</si>
  <si>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</si>
  <si>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</si>
  <si>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</si>
  <si>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</si>
  <si>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</si>
  <si>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</si>
  <si>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</si>
  <si>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</si>
  <si>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</si>
  <si>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</si>
  <si>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</si>
  <si>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</si>
  <si>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</si>
  <si>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</si>
  <si>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</si>
  <si>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</si>
  <si>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</si>
  <si>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</si>
  <si>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</si>
  <si>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</si>
  <si>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</si>
  <si>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</si>
  <si>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</si>
  <si>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</si>
  <si>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</si>
  <si>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</si>
  <si>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</si>
  <si>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</si>
  <si>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</si>
  <si>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</si>
  <si>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</si>
  <si>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</si>
  <si>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</si>
  <si>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</si>
  <si>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</si>
  <si>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</si>
  <si>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</si>
  <si>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</si>
  <si>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</si>
  <si>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</si>
  <si>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</si>
  <si>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</si>
  <si>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</si>
  <si>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</si>
  <si>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</si>
  <si>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</si>
  <si>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</si>
  <si>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</si>
  <si>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</si>
  <si>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</si>
  <si>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</si>
  <si>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</si>
  <si>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</si>
  <si>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</si>
  <si>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</si>
  <si>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</si>
  <si>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</si>
  <si>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</si>
  <si>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</si>
  <si>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</si>
  <si>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</si>
  <si>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</si>
  <si>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</si>
  <si>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</si>
  <si>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</si>
  <si>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</si>
  <si>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</si>
  <si>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</si>
  <si>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</si>
  <si>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</si>
  <si>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</si>
  <si>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</si>
  <si>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</si>
  <si>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</si>
  <si>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</si>
  <si>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</si>
  <si>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</si>
  <si>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</si>
  <si>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</si>
  <si>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</si>
  <si>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</si>
  <si>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</si>
  <si>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</si>
  <si>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</si>
  <si>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</si>
  <si>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</si>
  <si>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</si>
  <si>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</si>
  <si>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</si>
  <si>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</si>
  <si>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</si>
  <si>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</si>
  <si>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</si>
  <si>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</si>
  <si>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</si>
  <si>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</si>
  <si>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</si>
  <si>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</si>
  <si>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</si>
  <si>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</si>
  <si>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</si>
  <si>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</si>
  <si>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</si>
  <si>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</si>
  <si>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</si>
  <si>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</si>
  <si>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</si>
  <si>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</si>
  <si>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</si>
  <si>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</si>
  <si>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</si>
  <si>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</si>
  <si>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</si>
  <si>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</si>
  <si>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</si>
  <si>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</si>
  <si>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</si>
  <si>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</si>
  <si>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</si>
  <si>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</si>
  <si>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</si>
  <si>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</si>
  <si>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</si>
  <si>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</si>
  <si>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</si>
  <si>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</si>
  <si>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</si>
  <si>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</si>
  <si>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</si>
  <si>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</si>
  <si>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</si>
  <si>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</si>
  <si>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</si>
  <si>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</si>
  <si>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</si>
  <si>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</si>
  <si>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</si>
  <si>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</si>
  <si>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</si>
  <si>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</si>
  <si>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</si>
  <si>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</si>
  <si>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</si>
  <si>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</si>
  <si>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</si>
  <si>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</si>
  <si>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</si>
  <si>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</si>
  <si>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</si>
  <si>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</si>
  <si>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</si>
  <si>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</si>
  <si>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</si>
  <si>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</si>
  <si>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</si>
  <si>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</si>
  <si>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</si>
  <si>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</si>
  <si>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</si>
  <si>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</si>
  <si>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</si>
  <si>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</si>
  <si>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</si>
  <si>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</si>
  <si>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</si>
  <si>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</si>
  <si>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</si>
  <si>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</si>
  <si>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</si>
  <si>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</si>
  <si>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</si>
  <si>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</si>
  <si>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</si>
  <si>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</si>
  <si>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</si>
  <si>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</si>
  <si>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</si>
  <si>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</si>
  <si>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</si>
  <si>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</si>
  <si>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</si>
  <si>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</si>
  <si>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</si>
  <si>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</si>
  <si>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</si>
  <si>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</si>
  <si>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</si>
  <si>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</si>
  <si>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</si>
  <si>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</si>
  <si>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</si>
  <si>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</si>
  <si>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</si>
  <si>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</si>
  <si>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</si>
  <si>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</si>
  <si>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</si>
  <si>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</si>
  <si>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</si>
  <si>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</si>
  <si>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</si>
  <si>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</si>
  <si>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</si>
  <si>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</si>
  <si>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</si>
  <si>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</si>
  <si>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</si>
  <si>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</si>
  <si>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</si>
  <si>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</si>
  <si>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</si>
  <si>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</si>
  <si>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</si>
  <si>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</si>
  <si>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</si>
  <si>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</si>
  <si>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</si>
  <si>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</si>
  <si>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</si>
  <si>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</si>
  <si>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</si>
  <si>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</si>
  <si>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</si>
  <si>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</si>
  <si>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</si>
  <si>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</si>
  <si>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</si>
  <si>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</si>
  <si>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</si>
  <si>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</si>
  <si>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</si>
  <si>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</si>
  <si>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</si>
  <si>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</si>
  <si>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</si>
  <si>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</si>
  <si>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</si>
  <si>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</si>
  <si>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</si>
  <si>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</si>
  <si>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</si>
  <si>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</si>
  <si>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</si>
  <si>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</si>
  <si>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</si>
  <si>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</si>
  <si>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</si>
  <si>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</si>
  <si>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</si>
  <si>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</si>
  <si>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</si>
  <si>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</si>
  <si>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</si>
  <si>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</si>
  <si>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</si>
  <si>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</si>
  <si>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</si>
  <si>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</si>
  <si>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</si>
  <si>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</si>
  <si>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</si>
  <si>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</si>
  <si>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</si>
  <si>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</si>
  <si>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</si>
  <si>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</si>
  <si>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</si>
  <si>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</si>
  <si>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</si>
  <si>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</si>
  <si>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</si>
  <si>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</si>
  <si>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</si>
  <si>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</si>
  <si>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</si>
  <si>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</si>
  <si>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</si>
  <si>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</si>
  <si>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</si>
  <si>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</si>
  <si>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</si>
  <si>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</si>
  <si>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</si>
  <si>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</si>
  <si>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</si>
  <si>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</si>
  <si>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</si>
  <si>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</si>
  <si>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</si>
  <si>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</si>
  <si>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</si>
  <si>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</si>
  <si>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</si>
  <si>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</si>
  <si>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</si>
  <si>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</si>
  <si>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</si>
  <si>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</si>
  <si>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</si>
  <si>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</si>
  <si>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</si>
  <si>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</si>
  <si>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</si>
  <si>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</si>
  <si>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</si>
  <si>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</si>
  <si>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</si>
  <si>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</si>
  <si>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</si>
  <si>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</si>
  <si>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</si>
  <si>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</si>
  <si>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</si>
  <si>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</si>
  <si>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</si>
  <si>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</si>
  <si>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</si>
  <si>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</si>
  <si>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</si>
  <si>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</si>
  <si>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</si>
  <si>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</si>
  <si>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</si>
  <si>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</si>
  <si>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</si>
  <si>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</si>
  <si>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</si>
  <si>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</si>
  <si>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</si>
  <si>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</si>
  <si>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</si>
  <si>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</si>
  <si>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</si>
  <si>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</si>
  <si>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</si>
  <si>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</si>
  <si>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</si>
  <si>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</si>
  <si>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</si>
  <si>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</si>
  <si>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</si>
  <si>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</si>
  <si>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</si>
  <si>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</si>
  <si>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</si>
  <si>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</si>
  <si>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</si>
  <si>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</si>
  <si>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</si>
  <si>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</si>
  <si>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</si>
  <si>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</si>
  <si>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</si>
  <si>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</si>
  <si>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</si>
  <si>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</si>
  <si>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</si>
  <si>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</si>
  <si>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</si>
  <si>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</si>
  <si>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</si>
  <si>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</si>
  <si>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</si>
  <si>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</si>
  <si>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</si>
  <si>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</si>
  <si>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</si>
  <si>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</si>
  <si>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</si>
  <si>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</si>
  <si>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</si>
  <si>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</si>
  <si>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</si>
  <si>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</si>
  <si>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</si>
  <si>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</si>
  <si>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</si>
  <si>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</si>
  <si>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</si>
  <si>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</si>
  <si>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</si>
  <si>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</si>
  <si>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</si>
  <si>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</si>
  <si>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</si>
  <si>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</si>
  <si>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</si>
  <si>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</si>
  <si>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</si>
  <si>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</si>
  <si>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</si>
  <si>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</si>
  <si>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</si>
  <si>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</si>
  <si>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</si>
  <si>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</si>
  <si>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</si>
  <si>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</si>
  <si>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</si>
  <si>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</si>
  <si>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</si>
  <si>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</si>
  <si>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</si>
  <si>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</si>
  <si>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</si>
  <si>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</si>
  <si>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</si>
  <si>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</si>
  <si>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</si>
  <si>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</si>
  <si>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</si>
  <si>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</si>
  <si>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</si>
  <si>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</si>
  <si>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</si>
  <si>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</si>
  <si>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</si>
  <si>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</si>
  <si>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</si>
  <si>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</si>
  <si>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</si>
  <si>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</si>
  <si>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</si>
  <si>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</si>
  <si>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</si>
  <si>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</si>
  <si>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</si>
  <si>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</si>
  <si>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</si>
  <si>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</si>
  <si>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</si>
  <si>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</si>
  <si>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</si>
  <si>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</si>
  <si>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</si>
  <si>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</si>
  <si>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</si>
  <si>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</si>
  <si>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</si>
  <si>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</si>
  <si>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</si>
  <si>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</si>
  <si>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</si>
  <si>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</si>
  <si>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</si>
  <si>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</si>
  <si>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</si>
  <si>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</si>
  <si>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</si>
  <si>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</si>
  <si>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</si>
  <si>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</si>
  <si>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</si>
  <si>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</si>
  <si>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</si>
  <si>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</si>
  <si>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</si>
  <si>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</si>
  <si>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</si>
  <si>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</si>
  <si>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</si>
  <si>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</si>
  <si>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</si>
  <si>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</si>
  <si>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</si>
  <si>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</si>
  <si>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</si>
  <si>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</si>
  <si>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</si>
  <si>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</si>
  <si>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</si>
  <si>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</si>
  <si>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</si>
  <si>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</si>
  <si>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</si>
  <si>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</si>
  <si>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</si>
  <si>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</si>
  <si>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</si>
  <si>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</si>
  <si>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</si>
  <si>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</si>
  <si>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</si>
  <si>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</si>
  <si>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</si>
  <si>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</si>
  <si>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</si>
  <si>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</si>
  <si>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</si>
  <si>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</si>
  <si>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</si>
  <si>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</si>
  <si>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</si>
  <si>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</si>
  <si>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</si>
  <si>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</si>
  <si>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</si>
  <si>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</si>
  <si>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</si>
  <si>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</si>
  <si>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</si>
  <si>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</si>
  <si>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</si>
  <si>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</si>
  <si>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</si>
  <si>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</si>
  <si>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</si>
  <si>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</si>
  <si>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</si>
  <si>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</si>
  <si>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</si>
  <si>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</si>
  <si>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</si>
  <si>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</si>
  <si>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</si>
  <si>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</si>
  <si>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</si>
  <si>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</si>
  <si>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</si>
  <si>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</si>
  <si>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</si>
  <si>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</si>
  <si>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</si>
  <si>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</si>
  <si>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</si>
  <si>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</si>
  <si>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</si>
  <si>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</si>
  <si>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</si>
  <si>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</si>
  <si>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</si>
  <si>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</si>
  <si>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</si>
  <si>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</si>
  <si>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</si>
  <si>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</si>
  <si>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</si>
  <si>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</si>
  <si>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</si>
  <si>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</si>
  <si>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</si>
  <si>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</si>
  <si>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</si>
  <si>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</si>
  <si>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</si>
  <si>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</si>
  <si>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</si>
  <si>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</si>
  <si>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</si>
  <si>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</si>
  <si>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</si>
  <si>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</si>
  <si>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</si>
  <si>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</si>
  <si>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</si>
  <si>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</si>
  <si>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</si>
  <si>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</si>
  <si>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</si>
  <si>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</si>
  <si>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</si>
  <si>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</si>
  <si>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</si>
  <si>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</si>
  <si>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</si>
  <si>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</si>
  <si>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</si>
  <si>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</si>
  <si>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</si>
  <si>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</si>
  <si>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</si>
  <si>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</si>
  <si>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</si>
  <si>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</si>
  <si>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</si>
  <si>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</si>
  <si>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</si>
  <si>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</si>
  <si>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</si>
  <si>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</si>
  <si>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</si>
  <si>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</si>
  <si>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</si>
  <si>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</si>
  <si>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</si>
  <si>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</si>
  <si>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</si>
  <si>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</si>
  <si>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</si>
  <si>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</si>
  <si>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</si>
  <si>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</si>
  <si>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</si>
  <si>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</si>
  <si>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</si>
  <si>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</si>
  <si>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</si>
  <si>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</si>
  <si>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</si>
  <si>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</si>
  <si>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</si>
  <si>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</si>
  <si>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</si>
  <si>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</si>
  <si>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</si>
  <si>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</si>
  <si>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</si>
  <si>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</si>
  <si>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</si>
  <si>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</si>
  <si>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</si>
  <si>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</si>
  <si>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</si>
  <si>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</si>
  <si>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</si>
  <si>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</si>
  <si>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</si>
  <si>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</si>
  <si>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</si>
  <si>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</si>
  <si>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</si>
  <si>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</si>
  <si>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</si>
  <si>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</si>
  <si>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</si>
  <si>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</si>
  <si>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</si>
  <si>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</si>
  <si>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</si>
  <si>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</si>
  <si>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</si>
  <si>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</si>
  <si>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</si>
  <si>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</si>
  <si>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</si>
  <si>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</si>
  <si>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</si>
  <si>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</si>
  <si>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</si>
  <si>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</si>
  <si>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</si>
  <si>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</si>
  <si>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</si>
  <si>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</si>
  <si>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</si>
  <si>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</si>
  <si>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</si>
  <si>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</si>
  <si>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</si>
  <si>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</si>
  <si>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</si>
  <si>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</si>
  <si>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</si>
  <si>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</si>
  <si>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</si>
  <si>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</si>
  <si>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</si>
  <si>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</si>
  <si>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</si>
  <si>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</si>
  <si>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</si>
  <si>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</si>
  <si>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</si>
  <si>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</si>
  <si>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</si>
  <si>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</si>
  <si>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</si>
  <si>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</si>
  <si>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</si>
  <si>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</si>
  <si>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</si>
  <si>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</si>
  <si>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</si>
  <si>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</si>
  <si>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</si>
  <si>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</si>
  <si>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</si>
  <si>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</si>
  <si>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</si>
  <si>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</si>
  <si>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</si>
  <si>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</si>
  <si>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</si>
  <si>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</si>
  <si>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</si>
  <si>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</si>
  <si>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</si>
  <si>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</si>
  <si>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</si>
  <si>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</si>
  <si>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</si>
  <si>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</si>
  <si>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</si>
  <si>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</si>
  <si>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</si>
  <si>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</si>
  <si>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</si>
  <si>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</si>
  <si>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</si>
  <si>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</si>
  <si>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</si>
  <si>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</si>
  <si>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</si>
  <si>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</si>
  <si>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</si>
  <si>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</si>
  <si>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</si>
  <si>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</si>
  <si>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</si>
  <si>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</si>
  <si>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</si>
  <si>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</si>
  <si>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</si>
  <si>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</si>
  <si>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</si>
  <si>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</si>
  <si>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</si>
  <si>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</si>
  <si>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</si>
  <si>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</si>
  <si>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</si>
  <si>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</si>
  <si>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</si>
  <si>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</si>
  <si>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</si>
  <si>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</si>
  <si>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</si>
  <si>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</si>
  <si>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</si>
  <si>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</si>
  <si>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</si>
  <si>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</si>
  <si>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</si>
  <si>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</si>
  <si>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</si>
  <si>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</si>
  <si>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</si>
  <si>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</si>
  <si>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</si>
  <si>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</si>
  <si>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</si>
  <si>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</si>
  <si>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</si>
  <si>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</si>
  <si>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</si>
  <si>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</si>
  <si>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</si>
  <si>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</si>
  <si>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</si>
  <si>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</si>
  <si>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</si>
  <si>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</si>
  <si>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</si>
  <si>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</si>
  <si>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</si>
  <si>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</si>
  <si>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</si>
  <si>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</si>
  <si>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</si>
  <si>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</si>
  <si>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</si>
  <si>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</si>
  <si>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</si>
  <si>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</si>
  <si>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</si>
  <si>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</si>
  <si>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</si>
  <si>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</si>
  <si>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</si>
  <si>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</si>
  <si>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</si>
  <si>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</si>
  <si>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</si>
  <si>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</si>
  <si>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</si>
  <si>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</si>
  <si>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</si>
  <si>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</si>
  <si>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</si>
  <si>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</si>
  <si>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</si>
  <si>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</si>
  <si>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</si>
  <si>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</si>
  <si>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</si>
  <si>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</si>
  <si>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</si>
  <si>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</si>
  <si>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</si>
  <si>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</si>
  <si>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</si>
  <si>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</si>
  <si>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</si>
  <si>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</si>
  <si>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</si>
  <si>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</si>
  <si>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</si>
  <si>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</si>
  <si>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</si>
  <si>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</si>
  <si>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</si>
  <si>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</si>
  <si>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</si>
  <si>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</si>
  <si>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</si>
  <si>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</si>
  <si>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</si>
  <si>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</si>
  <si>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</si>
  <si>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</si>
  <si>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</si>
  <si>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</si>
  <si>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</si>
  <si>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</si>
  <si>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</si>
  <si>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</si>
  <si>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</si>
  <si>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</si>
  <si>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</si>
  <si>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</si>
  <si>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</si>
  <si>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</si>
  <si>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</si>
  <si>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</si>
  <si>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</si>
  <si>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</si>
  <si>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</si>
  <si>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</si>
  <si>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</si>
  <si>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</si>
  <si>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</si>
  <si>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</si>
  <si>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</si>
  <si>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</si>
  <si>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</si>
  <si>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</si>
  <si>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</si>
  <si>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</si>
  <si>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</si>
  <si>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</si>
  <si>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</si>
  <si>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</si>
  <si>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</si>
  <si>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</si>
  <si>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</si>
  <si>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</si>
  <si>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</si>
  <si>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</si>
  <si>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</si>
  <si>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</si>
  <si>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</si>
  <si>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</si>
  <si>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</si>
  <si>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</si>
  <si>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</si>
  <si>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</si>
  <si>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</si>
  <si>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</si>
  <si>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</si>
  <si>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</si>
  <si>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</si>
  <si>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</si>
  <si>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</si>
  <si>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</si>
  <si>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</si>
  <si>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</si>
  <si>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</si>
  <si>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</si>
  <si>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</si>
  <si>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</si>
  <si>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</si>
  <si>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</si>
  <si>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</si>
  <si>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</si>
  <si>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</si>
  <si>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</si>
  <si>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</si>
  <si>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</si>
  <si>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</si>
  <si>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</si>
  <si>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</si>
  <si>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</si>
  <si>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</si>
  <si>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</si>
  <si>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</si>
  <si>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</si>
  <si>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</si>
  <si>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</si>
  <si>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</si>
  <si>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</si>
  <si>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</si>
  <si>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</si>
  <si>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</si>
  <si>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</si>
  <si>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</si>
  <si>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</si>
  <si>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</si>
  <si>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</si>
  <si>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</si>
  <si>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</si>
  <si>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</si>
  <si>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</si>
  <si>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</si>
  <si>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</si>
  <si>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</si>
  <si>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</si>
  <si>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</si>
  <si>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</si>
  <si>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</si>
  <si>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</si>
  <si>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</si>
  <si>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</si>
  <si>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</si>
  <si>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</si>
  <si>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</si>
  <si>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</si>
  <si>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</si>
  <si>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</si>
  <si>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</si>
  <si>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</si>
  <si>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</si>
  <si>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</si>
  <si>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</si>
  <si>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</si>
  <si>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</si>
  <si>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</si>
  <si>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</si>
  <si>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</si>
  <si>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</si>
  <si>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</si>
  <si>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</si>
  <si>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</si>
  <si>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</si>
  <si>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</si>
  <si>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</si>
  <si>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</si>
  <si>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</si>
  <si>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</si>
  <si>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</si>
  <si>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</si>
  <si>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</si>
  <si>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</si>
  <si>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</si>
  <si>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</si>
  <si>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</si>
  <si>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</si>
  <si>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</si>
  <si>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</si>
  <si>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</si>
  <si>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</si>
  <si>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</si>
  <si>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</si>
  <si>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</si>
  <si>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</si>
  <si>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</si>
  <si>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</si>
  <si>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</si>
  <si>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</si>
  <si>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</si>
  <si>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</si>
  <si>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</si>
  <si>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</si>
  <si>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</si>
  <si>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</si>
  <si>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</si>
  <si>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</si>
  <si>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</si>
  <si>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</si>
  <si>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</si>
  <si>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</si>
  <si>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</si>
  <si>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</si>
  <si>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</si>
  <si>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</si>
  <si>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</si>
  <si>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</si>
  <si>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</si>
  <si>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</si>
  <si>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</si>
  <si>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</si>
  <si>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</si>
  <si>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</si>
  <si>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</si>
  <si>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</si>
  <si>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</si>
  <si>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</si>
  <si>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</si>
  <si>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</si>
  <si>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</si>
  <si>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</si>
  <si>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</si>
  <si>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</si>
  <si>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</si>
  <si>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</si>
  <si>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</si>
  <si>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</si>
  <si>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</si>
  <si>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</si>
  <si>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</si>
  <si>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</si>
  <si>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</si>
  <si>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</si>
  <si>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</si>
  <si>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</si>
  <si>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</si>
  <si>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</si>
  <si>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</si>
  <si>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</si>
  <si>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</si>
  <si>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</si>
  <si>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</si>
  <si>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</si>
  <si>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</si>
  <si>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</si>
  <si>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</si>
  <si>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</si>
  <si>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</si>
  <si>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</si>
  <si>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</si>
  <si>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</si>
  <si>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</si>
  <si>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</si>
  <si>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</si>
  <si>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</si>
  <si>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</si>
  <si>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</si>
  <si>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</si>
  <si>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</si>
  <si>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</si>
  <si>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</si>
  <si>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</si>
  <si>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</si>
  <si>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</si>
  <si>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</si>
  <si>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</si>
  <si>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</si>
  <si>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</si>
  <si>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</si>
  <si>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</si>
  <si>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</si>
  <si>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</si>
  <si>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</si>
  <si>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</si>
  <si>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</si>
  <si>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</si>
  <si>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</si>
  <si>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</si>
  <si>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</si>
  <si>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</si>
  <si>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</si>
  <si>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</si>
  <si>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</si>
  <si>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</si>
  <si>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</si>
  <si>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</si>
  <si>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</si>
  <si>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</si>
  <si>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</si>
  <si>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</si>
  <si>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</si>
  <si>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</si>
  <si>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</si>
  <si>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</si>
  <si>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</si>
  <si>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</si>
  <si>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</si>
  <si>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</si>
  <si>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</si>
  <si>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</si>
  <si>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</si>
  <si>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</si>
  <si>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</si>
  <si>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</si>
  <si>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</si>
  <si>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</si>
  <si>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</si>
  <si>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</si>
  <si>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</si>
  <si>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</si>
  <si>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</si>
  <si>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</si>
  <si>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</si>
  <si>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</si>
  <si>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</si>
  <si>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</si>
  <si>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</si>
  <si>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</si>
  <si>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</si>
  <si>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</si>
  <si>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</si>
  <si>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</si>
  <si>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</si>
  <si>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</si>
  <si>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</si>
  <si>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</si>
  <si>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</si>
  <si>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</si>
  <si>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</si>
  <si>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</si>
  <si>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</si>
  <si>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</si>
  <si>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</si>
  <si>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</si>
  <si>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</si>
  <si>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</si>
  <si>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</si>
  <si>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</si>
  <si>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</si>
  <si>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</si>
  <si>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</si>
  <si>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</si>
  <si>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</si>
  <si>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</si>
  <si>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</si>
  <si>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</si>
  <si>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</si>
  <si>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</si>
  <si>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</si>
  <si>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</si>
  <si>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</si>
  <si>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</si>
  <si>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</si>
  <si>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</si>
  <si>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</si>
  <si>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</si>
  <si>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</si>
  <si>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</si>
  <si>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</si>
  <si>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</si>
  <si>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</si>
  <si>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</si>
  <si>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</si>
  <si>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</si>
  <si>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</si>
  <si>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</si>
  <si>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</si>
  <si>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</si>
  <si>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</si>
  <si>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</si>
  <si>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</si>
  <si>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</si>
  <si>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</si>
  <si>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</si>
  <si>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</si>
  <si>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</si>
  <si>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</si>
  <si>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</si>
  <si>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</si>
  <si>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</si>
  <si>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</si>
  <si>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</si>
  <si>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</si>
  <si>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</si>
  <si>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</si>
  <si>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</si>
  <si>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</si>
  <si>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</si>
  <si>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</si>
  <si>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</si>
  <si>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</si>
  <si>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</si>
  <si>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</si>
  <si>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</si>
  <si>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</si>
  <si>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</si>
  <si>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</si>
  <si>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</si>
  <si>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</si>
  <si>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</si>
  <si>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</si>
  <si>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</si>
  <si>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</si>
  <si>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</si>
  <si>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</si>
  <si>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</si>
  <si>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</si>
  <si>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</si>
  <si>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</si>
  <si>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</si>
  <si>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</si>
  <si>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</si>
  <si>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</si>
  <si>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</si>
  <si>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</si>
  <si>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</si>
  <si>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</si>
  <si>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</si>
  <si>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</si>
  <si>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</si>
  <si>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</si>
  <si>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</si>
  <si>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</si>
  <si>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</si>
  <si>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</si>
  <si>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</si>
  <si>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</si>
  <si>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</si>
  <si>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</si>
  <si>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</si>
  <si>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</si>
  <si>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</si>
  <si>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</si>
  <si>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</si>
  <si>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</si>
  <si>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</si>
  <si>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</si>
  <si>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</si>
  <si>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</si>
  <si>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</si>
  <si>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</si>
  <si>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</si>
  <si>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</si>
  <si>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</si>
  <si>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</si>
  <si>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</si>
  <si>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</si>
  <si>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</si>
  <si>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</si>
  <si>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</si>
  <si>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</si>
  <si>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</si>
  <si>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</si>
  <si>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</si>
  <si>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</si>
  <si>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</si>
  <si>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</si>
  <si>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</si>
  <si>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</si>
  <si>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</si>
  <si>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</si>
  <si>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</si>
  <si>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</si>
  <si>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</si>
  <si>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</si>
  <si>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</si>
  <si>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</si>
  <si>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</si>
  <si>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</si>
  <si>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</si>
  <si>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</si>
  <si>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</si>
  <si>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</si>
  <si>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</si>
  <si>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</si>
  <si>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</si>
  <si>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</si>
  <si>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</si>
  <si>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</si>
  <si>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</si>
  <si>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</si>
  <si>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</si>
  <si>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</si>
  <si>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</si>
  <si>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</si>
  <si>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</si>
  <si>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</si>
  <si>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</si>
  <si>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</si>
  <si>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</si>
  <si>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</si>
  <si>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</si>
  <si>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</si>
  <si>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</si>
  <si>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</si>
  <si>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</si>
  <si>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</si>
  <si>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</si>
  <si>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</si>
  <si>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</si>
  <si>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</si>
  <si>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</si>
  <si>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</si>
  <si>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</si>
  <si>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</si>
  <si>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</si>
  <si>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</si>
  <si>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</si>
  <si>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</si>
  <si>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</si>
  <si>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</si>
  <si>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</si>
  <si>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</si>
  <si>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</si>
  <si>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</si>
  <si>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</si>
  <si>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</si>
  <si>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</si>
  <si>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</si>
  <si>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</si>
  <si>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</si>
  <si>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</si>
  <si>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</si>
  <si>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</si>
  <si>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</si>
  <si>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</si>
  <si>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</si>
  <si>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</si>
  <si>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</si>
  <si>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</si>
  <si>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</si>
  <si>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</si>
  <si>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</si>
  <si>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</si>
  <si>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</si>
  <si>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</si>
  <si>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</si>
  <si>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</si>
  <si>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</si>
  <si>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</si>
  <si>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</si>
  <si>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</si>
  <si>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</si>
  <si>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</si>
  <si>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</si>
  <si>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</si>
  <si>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</si>
  <si>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</si>
  <si>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</si>
  <si>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</si>
  <si>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</si>
  <si>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</si>
  <si>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</si>
  <si>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</si>
  <si>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</si>
  <si>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</si>
  <si>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</si>
  <si>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</si>
  <si>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</si>
  <si>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</si>
  <si>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</si>
  <si>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</si>
  <si>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</si>
  <si>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</si>
  <si>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</si>
  <si>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</si>
  <si>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</si>
  <si>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</si>
  <si>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</si>
  <si>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</si>
  <si>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</si>
  <si>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</si>
  <si>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</si>
  <si>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</si>
  <si>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</si>
  <si>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</si>
  <si>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</si>
  <si>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</si>
  <si>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</si>
  <si>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</si>
  <si>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</si>
  <si>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</si>
  <si>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</si>
  <si>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</si>
  <si>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</si>
  <si>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</si>
  <si>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</si>
  <si>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</si>
  <si>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</si>
  <si>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</si>
  <si>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</si>
  <si>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</si>
  <si>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</si>
  <si>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</si>
  <si>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</si>
  <si>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</si>
  <si>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</si>
  <si>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</si>
  <si>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</si>
  <si>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</si>
  <si>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</si>
  <si>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</si>
  <si>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</si>
  <si>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</si>
  <si>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</si>
  <si>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</si>
  <si>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</si>
  <si>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</si>
  <si>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</si>
  <si>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</si>
  <si>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</si>
  <si>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</si>
  <si>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</si>
  <si>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</si>
  <si>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</si>
  <si>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</si>
  <si>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</si>
  <si>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</si>
  <si>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</si>
  <si>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</si>
  <si>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</si>
  <si>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</si>
  <si>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</si>
  <si>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</si>
  <si>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</si>
  <si>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</si>
  <si>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</si>
  <si>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</si>
  <si>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</si>
  <si>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</si>
  <si>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</si>
  <si>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</si>
  <si>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</si>
  <si>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</si>
  <si>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</si>
  <si>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</si>
  <si>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</si>
  <si>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</si>
  <si>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</si>
  <si>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</si>
  <si>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</si>
  <si>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</si>
  <si>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</si>
  <si>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</si>
  <si>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</si>
  <si>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</si>
  <si>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</si>
  <si>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</si>
  <si>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</si>
  <si>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</si>
  <si>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</si>
  <si>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</si>
  <si>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</si>
  <si>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</si>
  <si>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</si>
  <si>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</si>
  <si>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</si>
  <si>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</si>
  <si>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</si>
  <si>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</si>
  <si>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</si>
  <si>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</si>
  <si>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</si>
  <si>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</si>
  <si>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</si>
  <si>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</si>
  <si>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</si>
  <si>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</si>
  <si>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</si>
  <si>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</si>
  <si>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</si>
  <si>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</si>
  <si>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</si>
  <si>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</si>
  <si>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</si>
  <si>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</si>
  <si>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</si>
  <si>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</si>
  <si>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</si>
  <si>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</si>
  <si>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</si>
  <si>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</si>
  <si>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</si>
  <si>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</si>
  <si>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</si>
  <si>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</si>
  <si>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</si>
  <si>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</si>
  <si>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</si>
  <si>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</si>
  <si>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</si>
  <si>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</si>
  <si>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</si>
  <si>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</si>
  <si>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</si>
  <si>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</si>
  <si>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</si>
  <si>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</si>
  <si>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</si>
  <si>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</si>
  <si>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</si>
  <si>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</si>
  <si>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</si>
  <si>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</si>
  <si>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</si>
  <si>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</si>
  <si>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</si>
  <si>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</si>
  <si>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</si>
  <si>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</si>
  <si>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</si>
  <si>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</si>
  <si>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</si>
  <si>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</si>
  <si>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</si>
  <si>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</si>
  <si>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</si>
  <si>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</si>
  <si>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</si>
  <si>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</si>
  <si>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</si>
  <si>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</si>
  <si>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</si>
  <si>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</si>
  <si>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</si>
  <si>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</si>
  <si>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</si>
  <si>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</si>
  <si>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</si>
  <si>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</si>
  <si>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</si>
  <si>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</si>
  <si>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</si>
  <si>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</si>
  <si>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</si>
  <si>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</si>
  <si>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</si>
  <si>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</si>
  <si>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</si>
  <si>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</si>
  <si>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</si>
  <si>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</si>
  <si>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</si>
  <si>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</si>
  <si>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</si>
  <si>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</si>
  <si>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</si>
  <si>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</si>
  <si>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</si>
  <si>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</si>
  <si>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</si>
  <si>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</si>
  <si>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</si>
  <si>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</si>
  <si>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</si>
  <si>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</si>
  <si>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</si>
  <si>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</si>
  <si>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</si>
  <si>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</si>
  <si>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</si>
  <si>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</si>
  <si>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</si>
  <si>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</si>
  <si>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</si>
  <si>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</si>
  <si>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</si>
  <si>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</si>
  <si>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</si>
  <si>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</si>
  <si>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</si>
  <si>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</si>
  <si>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</si>
  <si>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</si>
  <si>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</si>
  <si>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</si>
  <si>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</si>
  <si>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</si>
  <si>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</si>
  <si>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</si>
  <si>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</si>
  <si>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</si>
  <si>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</si>
  <si>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</si>
  <si>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</si>
  <si>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</si>
  <si>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</si>
  <si>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</si>
  <si>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</si>
  <si>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</si>
  <si>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</si>
  <si>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</si>
  <si>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</si>
  <si>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</si>
  <si>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</si>
  <si>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</si>
  <si>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</si>
  <si>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</si>
  <si>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</si>
  <si>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</si>
  <si>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</si>
  <si>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</si>
  <si>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</si>
  <si>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</si>
  <si>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</si>
  <si>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</si>
  <si>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</si>
  <si>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</si>
  <si>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</si>
  <si>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</si>
  <si>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</si>
  <si>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</si>
  <si>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</si>
  <si>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</si>
  <si>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</si>
  <si>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</si>
  <si>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</si>
  <si>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</si>
  <si>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</si>
  <si>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</si>
  <si>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</si>
  <si>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</si>
  <si>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</si>
  <si>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</si>
  <si>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</si>
  <si>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</si>
  <si>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</si>
  <si>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</si>
  <si>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</si>
  <si>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</si>
  <si>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</si>
  <si>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</si>
  <si>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</si>
  <si>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</si>
  <si>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抵押</t>
  </si>
  <si>
    <t>房地产抵押价值</t>
  </si>
  <si>
    <t>北京市</t>
  </si>
  <si>
    <t>企业</t>
  </si>
  <si>
    <t>出让</t>
  </si>
  <si>
    <t>是</t>
  </si>
  <si>
    <t>地上</t>
  </si>
  <si>
    <t>地下</t>
  </si>
  <si>
    <t>酒店</t>
  </si>
  <si>
    <t>酒店</t>
    <phoneticPr fontId="7" type="noConversion"/>
  </si>
  <si>
    <t>成新度</t>
  </si>
  <si>
    <t>收益法</t>
  </si>
  <si>
    <t>住宿餐饮用地</t>
  </si>
  <si>
    <t>不临58条商业街</t>
  </si>
  <si>
    <t>有</t>
  </si>
  <si>
    <t>无</t>
  </si>
  <si>
    <t>500米范围内</t>
  </si>
  <si>
    <t>通路</t>
  </si>
  <si>
    <t>通电</t>
  </si>
  <si>
    <t>通讯</t>
  </si>
  <si>
    <t>通上水</t>
  </si>
  <si>
    <t>通下水</t>
  </si>
  <si>
    <t>燃气</t>
  </si>
  <si>
    <t>平整</t>
  </si>
  <si>
    <t>与级别开发程度不一致</t>
  </si>
  <si>
    <t>容积率修正</t>
  </si>
  <si>
    <t>未包含在土地购买价格中</t>
  </si>
  <si>
    <t>全部缴纳</t>
  </si>
  <si>
    <t>已包含在土地取得成本中</t>
  </si>
  <si>
    <t>自定义</t>
  </si>
  <si>
    <t>钢混</t>
  </si>
  <si>
    <t>非生产用房</t>
  </si>
  <si>
    <t>否</t>
  </si>
  <si>
    <t>成本法</t>
  </si>
  <si>
    <t>现房</t>
  </si>
  <si>
    <t>地下</t>
    <phoneticPr fontId="3" type="noConversion"/>
  </si>
  <si>
    <t>地下</t>
    <phoneticPr fontId="3" type="noConversion"/>
  </si>
  <si>
    <t>地下车库</t>
    <phoneticPr fontId="3" type="noConversion"/>
  </si>
  <si>
    <t>面积</t>
    <phoneticPr fontId="3" type="noConversion"/>
  </si>
  <si>
    <t>建安</t>
    <phoneticPr fontId="3" type="noConversion"/>
  </si>
  <si>
    <t>面积占比</t>
    <phoneticPr fontId="3" type="noConversion"/>
  </si>
  <si>
    <t>楼层</t>
  </si>
  <si>
    <r>
      <t>面积</t>
    </r>
    <r>
      <rPr>
        <sz val="11"/>
        <color rgb="FF000000"/>
        <rFont val="Calibri"/>
        <family val="2"/>
      </rPr>
      <t>M</t>
    </r>
    <r>
      <rPr>
        <vertAlign val="superscript"/>
        <sz val="11"/>
        <color rgb="FF000000"/>
        <rFont val="Calibri"/>
        <family val="2"/>
      </rPr>
      <t>2</t>
    </r>
  </si>
  <si>
    <t>功能</t>
  </si>
  <si>
    <t>出租面积</t>
  </si>
  <si>
    <t>16-25</t>
  </si>
  <si>
    <r>
      <t>1175.3/</t>
    </r>
    <r>
      <rPr>
        <sz val="11"/>
        <color rgb="FF000000"/>
        <rFont val="宋体"/>
        <family val="3"/>
        <charset val="134"/>
      </rPr>
      <t>层</t>
    </r>
  </si>
  <si>
    <t>客房</t>
  </si>
  <si>
    <r>
      <t>751/</t>
    </r>
    <r>
      <rPr>
        <sz val="11"/>
        <color rgb="FF000000"/>
        <rFont val="宋体"/>
        <family val="3"/>
        <charset val="134"/>
      </rPr>
      <t>层</t>
    </r>
  </si>
  <si>
    <t>客房，酒吧</t>
  </si>
  <si>
    <r>
      <t xml:space="preserve">3.5 </t>
    </r>
    <r>
      <rPr>
        <sz val="11"/>
        <color rgb="FF000000"/>
        <rFont val="宋体"/>
        <family val="3"/>
        <charset val="134"/>
      </rPr>
      <t>夹层</t>
    </r>
  </si>
  <si>
    <t>设备层</t>
  </si>
  <si>
    <t>宴会区</t>
  </si>
  <si>
    <t>餐厅</t>
  </si>
  <si>
    <t>餐厅，大堂</t>
  </si>
  <si>
    <r>
      <t xml:space="preserve">1.5 </t>
    </r>
    <r>
      <rPr>
        <sz val="11"/>
        <color rgb="FF000000"/>
        <rFont val="宋体"/>
        <family val="3"/>
        <charset val="134"/>
      </rPr>
      <t>夹层</t>
    </r>
  </si>
  <si>
    <t>自行车库</t>
  </si>
  <si>
    <t>B1</t>
  </si>
  <si>
    <r>
      <t>厨房，</t>
    </r>
    <r>
      <rPr>
        <sz val="11"/>
        <color rgb="FF000000"/>
        <rFont val="Calibri"/>
        <family val="2"/>
      </rPr>
      <t>SPA</t>
    </r>
  </si>
  <si>
    <t>B2</t>
  </si>
  <si>
    <t>办公区，健身房，泳池</t>
  </si>
  <si>
    <t>B3</t>
  </si>
  <si>
    <t>停车场</t>
  </si>
  <si>
    <t>B4</t>
  </si>
  <si>
    <t>吴薇</t>
  </si>
  <si>
    <t>郑燚</t>
  </si>
  <si>
    <r>
      <rPr>
        <sz val="12"/>
        <color theme="9" tint="-0.249977111117893"/>
        <rFont val="宋体"/>
        <family val="3"/>
        <charset val="134"/>
      </rPr>
      <t>朝阳区东三环北路</t>
    </r>
    <r>
      <rPr>
        <sz val="12"/>
        <color theme="9" tint="-0.249977111117893"/>
        <rFont val="Arial"/>
        <family val="2"/>
      </rPr>
      <t>29</t>
    </r>
    <r>
      <rPr>
        <sz val="12"/>
        <color theme="9" tint="-0.249977111117893"/>
        <rFont val="宋体"/>
        <family val="3"/>
        <charset val="134"/>
      </rPr>
      <t>号楼</t>
    </r>
    <r>
      <rPr>
        <sz val="12"/>
        <color theme="9" tint="-0.249977111117893"/>
        <rFont val="Arial"/>
        <family val="2"/>
      </rPr>
      <t>-4</t>
    </r>
    <r>
      <rPr>
        <sz val="12"/>
        <color theme="9" tint="-0.249977111117893"/>
        <rFont val="宋体"/>
        <family val="3"/>
        <charset val="134"/>
      </rPr>
      <t>至</t>
    </r>
    <r>
      <rPr>
        <sz val="12"/>
        <color theme="9" tint="-0.249977111117893"/>
        <rFont val="Arial"/>
        <family val="2"/>
      </rPr>
      <t>25</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号</t>
    </r>
    <phoneticPr fontId="6" type="noConversion"/>
  </si>
  <si>
    <t>北京康拉德房地产开发有限公司</t>
    <phoneticPr fontId="6" type="noConversion"/>
  </si>
  <si>
    <t>酒店、地下车库</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</si>
  <si>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1264434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</si>
  <si>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复印件</t>
  </si>
  <si>
    <t>商业项目</t>
  </si>
  <si>
    <t>北京康拉德房地产开发有限公司</t>
    <phoneticPr fontId="6" type="noConversion"/>
  </si>
  <si>
    <t>上海浦东发展银行股份有限公司</t>
    <phoneticPr fontId="6" type="noConversion"/>
  </si>
  <si>
    <t>成本比率</t>
  </si>
  <si>
    <t>季度增幅（自定义）</t>
  </si>
  <si>
    <t>较好</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</si>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</sst>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font>
    <font>
      <sz val="11"/>
      <color rgb="FF000000"/>
      <name val="Calibri"/>
      <family val="2"/>
    </font>
    <font>
      <vertAlign val="superscript"/>
      <sz val="11"/>
      <color rgb="FF000000"/>
      <name val="Calibri"/>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9" fillId="0" borderId="0" xfId="0" applyFont="1" applyProtection="1">
      <alignment vertical="center"/>
      <protection locked="0"/>
    </xf>
    <xf numFmtId="0" fontId="211"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2" fillId="0" borderId="0" xfId="0" applyFont="1" applyAlignment="1">
      <alignment vertical="center"/>
    </xf>
    <xf numFmtId="0" fontId="139"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9" fillId="0" borderId="0" xfId="0" applyFont="1" applyFill="1" applyAlignment="1">
      <alignment vertical="center" wrapText="1"/>
    </xf>
    <xf numFmtId="0" fontId="212"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6" fillId="5" borderId="0" xfId="0" applyFont="1" applyFill="1" applyProtection="1">
      <alignment vertical="center"/>
      <protection locked="0"/>
    </xf>
    <xf numFmtId="0" fontId="104" fillId="0" borderId="0" xfId="0" applyFont="1" applyProtection="1">
      <alignment vertical="center"/>
      <protection locked="0"/>
    </xf>
    <xf numFmtId="0" fontId="212"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2"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29"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7"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7"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21"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0"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253" fillId="0" borderId="0" xfId="0" applyFont="1" applyBorder="1" applyAlignment="1">
      <alignment horizontal="center" vertical="center"/>
    </xf>
    <xf numFmtId="0" fontId="253" fillId="0" borderId="0" xfId="0" applyFont="1" applyBorder="1" applyAlignment="1">
      <alignment horizontal="center" vertical="center" wrapText="1"/>
    </xf>
    <xf numFmtId="0" fontId="0" fillId="0" borderId="0" xfId="0" applyBorder="1">
      <alignment vertical="center"/>
    </xf>
    <xf numFmtId="0" fontId="254" fillId="0" borderId="0" xfId="0" applyFont="1" applyBorder="1">
      <alignment vertical="center"/>
    </xf>
    <xf numFmtId="0" fontId="254" fillId="0" borderId="0" xfId="0" applyFont="1" applyBorder="1" applyAlignment="1">
      <alignment horizontal="center" vertical="center"/>
    </xf>
    <xf numFmtId="0" fontId="253" fillId="0" borderId="0" xfId="0" applyFont="1" applyBorder="1">
      <alignment vertical="center"/>
    </xf>
    <xf numFmtId="0" fontId="254" fillId="0" borderId="0" xfId="0" applyFont="1" applyBorder="1" applyAlignment="1">
      <alignment horizontal="center" vertical="center" wrapText="1"/>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horizontal="center" vertical="center"/>
      <protection locked="0"/>
    </xf>
    <xf numFmtId="2" fontId="50" fillId="6" borderId="0" xfId="0" applyNumberFormat="1" applyFont="1" applyFill="1" applyAlignment="1" applyProtection="1">
      <alignment horizontal="center" vertical="center"/>
      <protection locked="0"/>
    </xf>
    <xf numFmtId="197" fontId="50" fillId="6" borderId="0" xfId="0" applyNumberFormat="1" applyFont="1" applyFill="1" applyAlignment="1" applyProtection="1">
      <alignment horizontal="center" vertical="center"/>
      <protection locked="0"/>
    </xf>
    <xf numFmtId="0" fontId="80" fillId="6" borderId="0" xfId="0" applyFont="1" applyFill="1" applyAlignment="1" applyProtection="1">
      <alignment vertical="center"/>
      <protection locked="0"/>
    </xf>
    <xf numFmtId="0" fontId="253" fillId="0" borderId="82" xfId="0" applyFont="1" applyBorder="1" applyAlignment="1">
      <alignment horizontal="center" vertical="center"/>
    </xf>
    <xf numFmtId="0" fontId="253" fillId="0" borderId="65" xfId="0" applyFont="1" applyBorder="1" applyAlignment="1">
      <alignment horizontal="center" vertical="center"/>
    </xf>
    <xf numFmtId="0" fontId="253" fillId="0" borderId="65" xfId="0" applyFont="1" applyBorder="1" applyAlignment="1">
      <alignment horizontal="center" vertical="center" wrapText="1"/>
    </xf>
    <xf numFmtId="0" fontId="254" fillId="0" borderId="81" xfId="0" applyFont="1" applyBorder="1">
      <alignment vertical="center"/>
    </xf>
    <xf numFmtId="0" fontId="254" fillId="0" borderId="43" xfId="0" applyFont="1" applyBorder="1" applyAlignment="1">
      <alignment horizontal="center" vertical="center"/>
    </xf>
    <xf numFmtId="0" fontId="253" fillId="0" borderId="43" xfId="0" applyFont="1" applyBorder="1">
      <alignment vertical="center"/>
    </xf>
    <xf numFmtId="0" fontId="254" fillId="0" borderId="43" xfId="0" applyFont="1" applyBorder="1" applyAlignment="1">
      <alignment horizontal="center" vertical="center" wrapText="1"/>
    </xf>
    <xf numFmtId="0" fontId="189" fillId="7" borderId="54" xfId="0" applyFont="1" applyFill="1" applyBorder="1" applyAlignment="1" applyProtection="1">
      <alignment vertical="center" wrapText="1"/>
      <protection locked="0"/>
    </xf>
    <xf numFmtId="0" fontId="189" fillId="7" borderId="151" xfId="0" applyFont="1" applyFill="1" applyBorder="1" applyAlignment="1" applyProtection="1">
      <alignment vertical="center" wrapText="1"/>
      <protection locked="0"/>
    </xf>
    <xf numFmtId="0" fontId="189" fillId="7" borderId="5" xfId="0" applyFont="1" applyFill="1" applyBorder="1" applyAlignment="1" applyProtection="1">
      <alignment vertical="center" wrapText="1"/>
      <protection locked="0"/>
    </xf>
    <xf numFmtId="0" fontId="189" fillId="7" borderId="5" xfId="0" applyFont="1" applyFill="1" applyBorder="1" applyAlignment="1" applyProtection="1">
      <alignment vertical="center"/>
      <protection locked="0"/>
    </xf>
    <xf numFmtId="10" fontId="47" fillId="17" borderId="1" xfId="0" applyNumberFormat="1" applyFont="1" applyFill="1" applyBorder="1" applyAlignment="1" applyProtection="1">
      <alignment horizontal="center" vertical="center"/>
      <protection locked="0"/>
    </xf>
    <xf numFmtId="181" fontId="47" fillId="17" borderId="24" xfId="0" applyNumberFormat="1" applyFont="1" applyFill="1" applyBorder="1" applyAlignment="1" applyProtection="1">
      <alignment horizontal="center" vertical="center"/>
      <protection locked="0"/>
    </xf>
    <xf numFmtId="9" fontId="50" fillId="17" borderId="5" xfId="0" applyNumberFormat="1" applyFont="1" applyFill="1" applyBorder="1" applyAlignment="1" applyProtection="1">
      <alignment horizontal="center" vertical="center"/>
      <protection locked="0"/>
    </xf>
    <xf numFmtId="9" fontId="145" fillId="17" borderId="1" xfId="0" applyNumberFormat="1" applyFont="1" applyFill="1" applyBorder="1" applyAlignment="1">
      <alignment horizontal="center" vertical="center"/>
    </xf>
    <xf numFmtId="9" fontId="19" fillId="17" borderId="1" xfId="0" applyNumberFormat="1" applyFont="1" applyFill="1" applyBorder="1" applyAlignment="1">
      <alignment horizontal="center" vertical="center"/>
    </xf>
    <xf numFmtId="181" fontId="55" fillId="17" borderId="24" xfId="0" applyNumberFormat="1" applyFont="1" applyFill="1" applyBorder="1" applyAlignment="1" applyProtection="1">
      <alignment horizontal="center" vertical="center"/>
    </xf>
    <xf numFmtId="10" fontId="55" fillId="17" borderId="24" xfId="0" applyNumberFormat="1" applyFont="1" applyFill="1" applyBorder="1" applyAlignment="1" applyProtection="1">
      <alignment horizontal="center" vertical="center"/>
    </xf>
    <xf numFmtId="10" fontId="54" fillId="17" borderId="3" xfId="8" applyNumberFormat="1" applyFont="1" applyFill="1" applyBorder="1" applyAlignment="1" applyProtection="1">
      <alignment horizontal="center" vertical="center" wrapText="1"/>
      <protection locked="0"/>
    </xf>
    <xf numFmtId="0" fontId="54" fillId="17" borderId="84" xfId="8" applyFont="1" applyFill="1" applyBorder="1" applyAlignment="1" applyProtection="1">
      <alignment horizontal="center" vertical="center" wrapText="1"/>
      <protection locked="0"/>
    </xf>
    <xf numFmtId="0" fontId="202"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2"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1"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7" fillId="0" borderId="0" xfId="0" applyFont="1" applyAlignment="1" applyProtection="1">
      <alignment vertical="center" wrapText="1"/>
      <protection locked="0"/>
    </xf>
    <xf numFmtId="0" fontId="233"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3"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9"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9"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C40" sqref="C40"/>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北京市朝阳区东三环北路29号楼-4至25层101号房地产抵押价值预评估</v>
      </c>
    </row>
    <row r="3" spans="1:2" s="1593" customFormat="1">
      <c r="A3" s="1591" t="s">
        <v>1216</v>
      </c>
      <c r="B3" s="1592" t="str">
        <f>'预评函-封皮'!B40</f>
        <v>北京康拉德房地产开发有限公司</v>
      </c>
    </row>
    <row r="4" spans="1:2" s="1593" customFormat="1">
      <c r="A4" s="1591" t="s">
        <v>1217</v>
      </c>
      <c r="B4" s="1592" t="str">
        <f ca="1">'预评函-封皮'!B46</f>
        <v>吴薇（注册号：1419970001)、郑燚（注册号：1120070131)</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受贵公司委托，我公司对北京市朝阳区东三环北路29号楼-4至25层101号房地产抵押价值进行了预评估。</v>
      </c>
    </row>
    <row r="7" spans="1:2" s="1593" customFormat="1">
      <c r="A7" s="1591" t="s">
        <v>1259</v>
      </c>
      <c r="B7" s="1592" t="str">
        <f>'预评函-1'!A7</f>
        <v>估价对象为北京市朝阳区东三环北路29号楼-4至25层101号房地产，为北京康拉德房地产开发有限公司所有。根据《国有土地使用证》[]，估价对象（分摊）出让国有建设用地使用权面积为7779.45平方米，建筑面积为51328.59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朝阳区东三环北路29号楼-4至25层101号房地产,属北京康拉德房地产开发有限公司开发建设的商业项目，该项目尚在开发建设中。根据《国有土地使用证》[]，估价对象（分摊）出让国有建设用地使用权面积为7779.45平方米，规划建筑面积为51328.59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为估价委托人在向上海浦东发展银行股份有限公司办理贷款手续过程中，确定房地产抵押贷款额度提供参考依据而评估房地产抵押价值。</v>
      </c>
    </row>
    <row r="12" spans="1:2" s="1593" customFormat="1">
      <c r="A12" s="1591" t="s">
        <v>1221</v>
      </c>
      <c r="B12" s="1592" t="str">
        <f>'预评函-1'!A15</f>
        <v>2020年3月12日</v>
      </c>
    </row>
    <row r="13" spans="1:2" s="1593" customFormat="1">
      <c r="A13" s="1591" t="s">
        <v>1222</v>
      </c>
      <c r="B13" s="1592" t="str">
        <f>'预评函-1'!A18</f>
        <v>本次估价的“房地产价值”是指在正常市场情况下，在价值时点2020年3月12日，估价对象规划用途为酒店、地下车库，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酒店、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155579</v>
      </c>
    </row>
    <row r="21" spans="1:2" s="1593" customFormat="1">
      <c r="A21" s="1591" t="s">
        <v>1230</v>
      </c>
      <c r="B21" s="1592">
        <f ca="1">'预评函-2'!D7</f>
        <v>30310</v>
      </c>
    </row>
    <row r="22" spans="1:2" s="1593" customFormat="1">
      <c r="A22" s="1591" t="s">
        <v>1231</v>
      </c>
      <c r="B22" s="1592" t="str">
        <f ca="1">'预评函-2'!D6</f>
        <v>壹拾伍亿伍仟伍佰柒拾玖万元整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155579</v>
      </c>
    </row>
    <row r="31" spans="1:2" s="1593" customFormat="1">
      <c r="A31" s="1591" t="s">
        <v>1269</v>
      </c>
      <c r="B31" s="1592">
        <f ca="1">'预评函-2'!D15</f>
        <v>30310</v>
      </c>
    </row>
    <row r="32" spans="1:2" s="1593" customFormat="1">
      <c r="A32" s="1591" t="s">
        <v>1236</v>
      </c>
      <c r="B32" s="1592" t="str">
        <f ca="1">'预评函-2'!D14</f>
        <v>壹拾伍亿伍仟伍佰柒拾玖万元整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北京市朝阳区东三环北路29号楼-4至25层101号房地产</v>
      </c>
    </row>
    <row r="42" spans="1:2" s="1593" customFormat="1">
      <c r="A42" s="1591" t="s">
        <v>1283</v>
      </c>
      <c r="B42" s="1592" t="str">
        <f>'预评函-3'!B2</f>
        <v>建筑面积</v>
      </c>
    </row>
    <row r="43" spans="1:2" s="1593" customFormat="1">
      <c r="A43" s="1591" t="s">
        <v>1284</v>
      </c>
      <c r="B43" s="1592">
        <f>'预评函-3'!B4</f>
        <v>51328.59</v>
      </c>
    </row>
    <row r="44" spans="1:2" s="1593" customFormat="1">
      <c r="A44" s="1591" t="s">
        <v>1268</v>
      </c>
      <c r="B44" s="1592" t="str">
        <f>'预评函-3'!C2</f>
        <v>(分摊)土地面积</v>
      </c>
    </row>
    <row r="45" spans="1:2" s="1593" customFormat="1">
      <c r="A45" s="1591" t="s">
        <v>1240</v>
      </c>
      <c r="B45" s="1592">
        <f>'预评函-3'!C4</f>
        <v>7779.45</v>
      </c>
    </row>
    <row r="46" spans="1:2" s="1593" customFormat="1">
      <c r="A46" s="1591" t="s">
        <v>1266</v>
      </c>
      <c r="B46" s="1592" t="str">
        <f>'预评函-3'!D2</f>
        <v>出让国有建设用地使用权价值</v>
      </c>
    </row>
    <row r="47" spans="1:2" s="1593" customFormat="1">
      <c r="A47" s="1591" t="s">
        <v>1241</v>
      </c>
      <c r="B47" s="1592">
        <f ca="1">'预评函-3'!D4</f>
        <v>124463</v>
      </c>
    </row>
    <row r="48" spans="1:2" s="1593" customFormat="1">
      <c r="A48" s="1591" t="s">
        <v>1242</v>
      </c>
      <c r="B48" s="1592">
        <f ca="1">'预评函-3'!E4</f>
        <v>24248</v>
      </c>
    </row>
    <row r="49" spans="1:2" s="1593" customFormat="1">
      <c r="A49" s="1591" t="s">
        <v>1243</v>
      </c>
      <c r="B49" s="1592" t="str">
        <f ca="1">'预评函-3'!D5</f>
        <v>壹拾贰亿肆仟肆佰陆拾叁万元整</v>
      </c>
    </row>
    <row r="50" spans="1:2" s="1593" customFormat="1">
      <c r="A50" s="1591" t="s">
        <v>1267</v>
      </c>
      <c r="B50" s="1592" t="str">
        <f>'预评函-3'!F2</f>
        <v>在建建筑物价值</v>
      </c>
    </row>
    <row r="51" spans="1:2" s="1593" customFormat="1">
      <c r="A51" s="1591" t="s">
        <v>1244</v>
      </c>
      <c r="B51" s="1592">
        <f ca="1">'预评函-3'!F4</f>
        <v>31116</v>
      </c>
    </row>
    <row r="52" spans="1:2" s="1593" customFormat="1">
      <c r="A52" s="1591" t="s">
        <v>1245</v>
      </c>
      <c r="B52" s="1592">
        <f ca="1">'预评函-3'!G4</f>
        <v>6062</v>
      </c>
    </row>
    <row r="53" spans="1:2" s="1593" customFormat="1">
      <c r="A53" s="1591" t="s">
        <v>1273</v>
      </c>
      <c r="B53" s="1592" t="str">
        <f ca="1">'预评函-3'!F5</f>
        <v>叁亿壹仟壹佰壹拾陆万元整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（1）根据估价对象《房屋所有权证》复印件、《国有土地使用权》复印件，截至价值时点，估价对象抵押权未见登记。</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吴薇</v>
      </c>
    </row>
    <row r="71" spans="1:2">
      <c r="A71" s="1591" t="s">
        <v>1256</v>
      </c>
      <c r="B71" s="1592">
        <f ca="1">'预评函-4'!B4</f>
        <v>1419970001</v>
      </c>
    </row>
    <row r="72" spans="1:2">
      <c r="A72" s="1591" t="s">
        <v>1257</v>
      </c>
      <c r="B72" s="1600" t="str">
        <f>'预评函-4'!A5</f>
        <v>郑燚</v>
      </c>
    </row>
    <row r="73" spans="1:2" s="1587" customFormat="1" ht="15" thickBot="1">
      <c r="A73" s="1594" t="s">
        <v>1258</v>
      </c>
      <c r="B73" s="1595">
        <f ca="1">'预评函-4'!B5</f>
        <v>1120070131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757</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为估价委托人在向上海浦东发展银行股份有限公司办理贷款手续过程中，确定房地产抵押贷款额度提供参考依据而评估房地产抵押价值。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康拉德房地产开发有限公司拟使用北京市朝阳区东三环北路29号楼-4至25层101号房地产作为抵押担保物，向上海浦东发展银行股份有限公司办理贷款手续。上海浦东发展银行股份有限公司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24"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12日，估价对象规划用途为酒店、地下车库土地取得方式为出让，出让国有建设用地使用权剩余土地使用年限为XX年(多用途剩余年限尾数不同时，可只体现小数点后一位)，假定未设立法定优先受偿款下的房地产市场价值。</v>
      </c>
    </row>
    <row r="54" spans="1:4">
      <c r="A54" s="3024"/>
      <c r="B54" s="2020" t="s">
        <v>860</v>
      </c>
      <c r="C54" s="2017" t="s">
        <v>1276</v>
      </c>
    </row>
    <row r="55" spans="1:4">
      <c r="A55" s="3024"/>
      <c r="B55" s="2020" t="s">
        <v>861</v>
      </c>
      <c r="C55" s="2017" t="s">
        <v>1277</v>
      </c>
    </row>
    <row r="56" spans="1:4">
      <c r="A56" s="3024"/>
      <c r="B56" s="2020" t="s">
        <v>862</v>
      </c>
      <c r="C56" s="2017" t="s">
        <v>1281</v>
      </c>
    </row>
    <row r="57" spans="1:4">
      <c r="A57" s="3024"/>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4" sqref="B34"/>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1770</v>
      </c>
      <c r="B1" s="3025" t="str">
        <f>IF(B10="北京市","北京市",C10)&amp;F10&amp;IF(结果表!G1="在建","出让国有建设用地使用权及在建建筑物",IF(结果表!G1="土地","出让国有建设用地使用权",))&amp;B9&amp;"预评估"</f>
        <v>北京市朝阳区东三环北路29号楼-4至25层101号房地产抵押价值预评估</v>
      </c>
      <c r="C1" s="3026"/>
      <c r="D1" s="3026"/>
      <c r="E1" s="3026"/>
      <c r="F1" s="3026"/>
      <c r="G1" s="3026"/>
      <c r="H1" s="3026"/>
      <c r="I1" s="3027"/>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北京市朝阳区东三环北路29号楼-4至25层101号房地产抵押价值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北京市朝阳区东三环北路29号楼-4至25层101号房地产</v>
      </c>
    </row>
    <row r="3" spans="1:19" ht="18" customHeight="1">
      <c r="A3" s="2033" t="s">
        <v>1772</v>
      </c>
      <c r="B3" s="2034"/>
      <c r="C3" s="2035" t="s">
        <v>1773</v>
      </c>
      <c r="D3" s="2034">
        <v>43902</v>
      </c>
      <c r="E3" s="2024"/>
      <c r="F3" s="2024"/>
      <c r="G3" s="2024"/>
      <c r="H3" s="2024"/>
      <c r="I3" s="2024"/>
      <c r="J3" s="2024"/>
      <c r="K3" s="2025"/>
      <c r="L3" s="2026"/>
      <c r="M3" s="2026"/>
      <c r="N3" s="2027"/>
      <c r="O3" s="2028"/>
      <c r="P3" s="2027"/>
      <c r="Q3" s="2027"/>
      <c r="R3" s="2027"/>
      <c r="S3" s="2029"/>
    </row>
    <row r="4" spans="1:19" ht="18" customHeight="1" thickBot="1">
      <c r="A4" s="2036" t="s">
        <v>1774</v>
      </c>
      <c r="B4" s="2037" t="s">
        <v>3119</v>
      </c>
      <c r="C4" s="1037">
        <f ca="1">SUMIF(注册房地产估价师,B4,估价师及机构信息!B3:B24)</f>
        <v>1419970001</v>
      </c>
      <c r="D4" s="2037" t="s">
        <v>3120</v>
      </c>
      <c r="E4" s="1038">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1775</v>
      </c>
      <c r="B5" s="2969" t="s">
        <v>3122</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1776</v>
      </c>
      <c r="B6" s="2971" t="s">
        <v>3128</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1777</v>
      </c>
      <c r="B7" s="2970" t="s">
        <v>3122</v>
      </c>
      <c r="C7" s="2046"/>
      <c r="D7" s="2047"/>
      <c r="E7" s="2032"/>
      <c r="F7" s="2040"/>
      <c r="G7" s="2040"/>
      <c r="H7" s="2040"/>
      <c r="I7" s="2040"/>
      <c r="J7" s="2040"/>
      <c r="K7" s="2049"/>
      <c r="L7" s="2026"/>
      <c r="M7" s="2026"/>
      <c r="N7" s="2027"/>
      <c r="O7" s="2028"/>
      <c r="P7" s="2027"/>
      <c r="Q7" s="2027"/>
      <c r="R7" s="2027"/>
    </row>
    <row r="8" spans="1:19" ht="18" customHeight="1">
      <c r="A8" s="2045" t="s">
        <v>1778</v>
      </c>
      <c r="B8" s="2050" t="s">
        <v>3055</v>
      </c>
      <c r="C8" s="2051"/>
      <c r="D8" s="3028" t="s">
        <v>1779</v>
      </c>
      <c r="E8" s="2052" t="s">
        <v>3056</v>
      </c>
      <c r="F8" s="2053"/>
      <c r="G8" s="2024"/>
      <c r="H8" s="2024"/>
      <c r="I8" s="2024"/>
      <c r="J8" s="2040"/>
      <c r="K8" s="2041"/>
      <c r="L8" s="2026"/>
      <c r="M8" s="2026"/>
      <c r="N8" s="2027"/>
      <c r="O8" s="2028"/>
      <c r="P8" s="2027"/>
      <c r="Q8" s="2027"/>
      <c r="R8" s="2027"/>
    </row>
    <row r="9" spans="1:19" ht="18" customHeight="1" thickBot="1">
      <c r="A9" s="2038" t="s">
        <v>1780</v>
      </c>
      <c r="B9" s="2054" t="s">
        <v>3056</v>
      </c>
      <c r="C9" s="2055"/>
      <c r="D9" s="3029"/>
      <c r="E9" s="2054"/>
      <c r="F9" s="2056"/>
      <c r="G9" s="2057"/>
      <c r="H9" s="2057"/>
      <c r="I9" s="2057"/>
      <c r="J9" s="2040"/>
      <c r="K9" s="2049"/>
      <c r="L9" s="2026"/>
      <c r="M9" s="2026"/>
      <c r="N9" s="2027"/>
      <c r="O9" s="2028"/>
      <c r="P9" s="2027"/>
      <c r="Q9" s="2027"/>
      <c r="R9" s="2027"/>
    </row>
    <row r="10" spans="1:19" ht="18" customHeight="1" thickTop="1">
      <c r="A10" s="2058" t="s">
        <v>1781</v>
      </c>
      <c r="B10" s="2059" t="s">
        <v>3057</v>
      </c>
      <c r="C10" s="2060"/>
      <c r="D10" s="2044"/>
      <c r="E10" s="2061" t="s">
        <v>1782</v>
      </c>
      <c r="F10" s="2062" t="s">
        <v>3121</v>
      </c>
      <c r="G10" s="2063"/>
      <c r="H10" s="2064"/>
      <c r="I10" s="2044"/>
      <c r="J10" s="2040"/>
      <c r="K10" s="2049"/>
      <c r="L10" s="2026"/>
      <c r="M10" s="2026"/>
      <c r="N10" s="2027"/>
      <c r="O10" s="2028"/>
      <c r="P10" s="2027"/>
      <c r="Q10" s="2027"/>
      <c r="R10" s="2027"/>
    </row>
    <row r="11" spans="1:19" ht="18" customHeight="1">
      <c r="A11" s="2065" t="s">
        <v>1783</v>
      </c>
      <c r="B11" s="2066" t="s">
        <v>3058</v>
      </c>
      <c r="C11" s="2968" t="s">
        <v>3127</v>
      </c>
      <c r="D11" s="2067"/>
      <c r="E11" s="2040"/>
      <c r="F11" s="2040"/>
      <c r="G11" s="2040"/>
      <c r="H11" s="2040"/>
      <c r="I11" s="2040"/>
      <c r="J11" s="2040"/>
      <c r="K11" s="2049"/>
      <c r="L11" s="2026"/>
      <c r="M11" s="2026"/>
      <c r="N11" s="2027"/>
      <c r="O11" s="2028"/>
      <c r="P11" s="2027"/>
      <c r="Q11" s="2027"/>
      <c r="R11" s="2027"/>
    </row>
    <row r="12" spans="1:19" ht="18" customHeight="1">
      <c r="A12" s="2068" t="s">
        <v>1784</v>
      </c>
      <c r="B12" s="2066" t="s">
        <v>3059</v>
      </c>
      <c r="C12" s="2069" t="s">
        <v>1785</v>
      </c>
      <c r="D12" s="2070" t="s">
        <v>1786</v>
      </c>
      <c r="E12" s="2070" t="s">
        <v>1787</v>
      </c>
      <c r="F12" s="2070" t="s">
        <v>1788</v>
      </c>
      <c r="G12" s="2070" t="s">
        <v>1789</v>
      </c>
      <c r="H12" s="2070" t="s">
        <v>1790</v>
      </c>
      <c r="I12" s="2070" t="s">
        <v>1791</v>
      </c>
      <c r="J12" s="2040"/>
      <c r="K12" s="2049"/>
      <c r="L12" s="2026"/>
      <c r="M12" s="2026"/>
      <c r="N12" s="2027"/>
      <c r="O12" s="2028"/>
      <c r="P12" s="2027"/>
      <c r="Q12" s="2027"/>
      <c r="R12" s="2027"/>
    </row>
    <row r="13" spans="1:19" ht="18" customHeight="1">
      <c r="A13" s="2071"/>
      <c r="B13" s="2072"/>
      <c r="C13" s="2073" t="s">
        <v>1792</v>
      </c>
      <c r="D13" s="2074"/>
      <c r="E13" s="2074">
        <v>54854</v>
      </c>
      <c r="F13" s="2074"/>
      <c r="G13" s="2074">
        <v>54854</v>
      </c>
      <c r="H13" s="2074"/>
      <c r="I13" s="1047"/>
      <c r="J13" s="2040"/>
      <c r="K13" s="2049"/>
      <c r="L13" s="2026"/>
      <c r="M13" s="2026"/>
      <c r="N13" s="2027"/>
      <c r="O13" s="2028"/>
      <c r="P13" s="2027"/>
      <c r="Q13" s="2027"/>
      <c r="R13" s="2027"/>
    </row>
    <row r="14" spans="1:19" ht="18" customHeight="1">
      <c r="A14" s="2071"/>
      <c r="B14" s="2072"/>
      <c r="C14" s="2073" t="s">
        <v>1793</v>
      </c>
      <c r="D14" s="1050"/>
      <c r="E14" s="1050">
        <v>40</v>
      </c>
      <c r="F14" s="1050"/>
      <c r="G14" s="1050">
        <v>40</v>
      </c>
      <c r="H14" s="1050"/>
      <c r="I14" s="1050"/>
      <c r="J14" s="2040"/>
      <c r="K14" s="2075"/>
      <c r="L14" s="2026"/>
      <c r="M14" s="2026"/>
      <c r="N14" s="2027"/>
      <c r="O14" s="2028"/>
      <c r="P14" s="2027"/>
      <c r="Q14" s="2027"/>
      <c r="R14" s="2027"/>
    </row>
    <row r="15" spans="1:19" ht="18" customHeight="1">
      <c r="A15" s="2058"/>
      <c r="B15" s="2076"/>
      <c r="C15" s="2073" t="s">
        <v>1794</v>
      </c>
      <c r="D15" s="1049" t="str">
        <f>IF(B12="出让",IF(D13="","",ROUNDDOWN(MIN((D13-$D$3)/365,D14),2)),D14)</f>
        <v/>
      </c>
      <c r="E15" s="1049">
        <f>IF(B12="出让",IF(E13="","",ROUNDDOWN(MIN((E13-$D$3)/365,E14),2)),E14)</f>
        <v>30</v>
      </c>
      <c r="F15" s="1049" t="str">
        <f>IF(B12="出让",IF(F13="","",ROUNDDOWN(MIN((F13-$D$3)/365,F14),2)),F14)</f>
        <v/>
      </c>
      <c r="G15" s="1049">
        <f>IF(B12="出让",IF(G13="","",ROUNDDOWN(MIN((G13-$D$3)/365,G14),2)),G14)</f>
        <v>30</v>
      </c>
      <c r="H15" s="1049" t="str">
        <f>IF(B12="出让",IF(H13="","",ROUNDDOWN(MIN((H13-$D$3)/365,H14),2)),H14)</f>
        <v/>
      </c>
      <c r="I15" s="1049" t="str">
        <f>IF(B12="出让",IF(I13="","",ROUNDDOWN(MIN((I13-$D$3)/365,I14),2)),I14)</f>
        <v/>
      </c>
      <c r="J15" s="2040"/>
      <c r="K15" s="2077"/>
      <c r="L15" s="2078"/>
      <c r="M15" s="2078"/>
      <c r="N15" s="2079"/>
      <c r="O15" s="2078"/>
      <c r="P15" s="2079"/>
      <c r="Q15" s="2027"/>
      <c r="R15" s="2027"/>
    </row>
    <row r="16" spans="1:19" ht="30.75" customHeight="1">
      <c r="A16" s="2061" t="s">
        <v>1795</v>
      </c>
      <c r="B16" s="3035" t="s">
        <v>3123</v>
      </c>
      <c r="C16" s="3036"/>
      <c r="D16" s="3037"/>
      <c r="E16" s="2080" t="s">
        <v>1796</v>
      </c>
      <c r="F16" s="3038"/>
      <c r="G16" s="3039"/>
      <c r="H16" s="3039"/>
      <c r="I16" s="3040"/>
      <c r="J16" s="2027"/>
      <c r="K16" s="2077"/>
      <c r="L16" s="2078"/>
      <c r="M16" s="2078"/>
      <c r="N16" s="2079"/>
      <c r="O16" s="2078"/>
      <c r="P16" s="2079"/>
      <c r="Q16" s="2027"/>
      <c r="R16" s="2027"/>
    </row>
    <row r="17" spans="1:22" ht="18" customHeight="1">
      <c r="A17" s="2081" t="s">
        <v>1797</v>
      </c>
      <c r="B17" s="2033" t="s">
        <v>1798</v>
      </c>
      <c r="C17" s="1054">
        <f>'数据-汇总表'!E3</f>
        <v>51328.59</v>
      </c>
      <c r="D17" s="2082" t="s">
        <v>1799</v>
      </c>
      <c r="E17" s="3041" t="s">
        <v>3124</v>
      </c>
      <c r="F17" s="3042"/>
      <c r="G17" s="3042"/>
      <c r="H17" s="3042"/>
      <c r="I17" s="3043"/>
      <c r="J17" s="2027"/>
      <c r="K17" s="2083"/>
      <c r="L17" s="2078"/>
      <c r="M17" s="2078"/>
      <c r="N17" s="2079"/>
      <c r="O17" s="2078"/>
      <c r="P17" s="2079"/>
      <c r="Q17" s="2027"/>
      <c r="R17" s="2027"/>
      <c r="S17" s="2027"/>
      <c r="T17" s="2027"/>
      <c r="U17" s="2027"/>
      <c r="V17" s="2027"/>
    </row>
    <row r="18" spans="1:22" ht="36" customHeight="1" thickBot="1">
      <c r="A18" s="2084" t="s">
        <v>1800</v>
      </c>
      <c r="B18" s="2036" t="s">
        <v>1801</v>
      </c>
      <c r="C18" s="1444">
        <f>'数据-汇总表'!D3</f>
        <v>7779.45</v>
      </c>
      <c r="D18" s="2085" t="s">
        <v>1799</v>
      </c>
      <c r="E18" s="3044" t="s">
        <v>1802</v>
      </c>
      <c r="F18" s="3045"/>
      <c r="G18" s="3045"/>
      <c r="H18" s="3045"/>
      <c r="I18" s="3046"/>
      <c r="J18" s="2027"/>
      <c r="K18" s="2083"/>
      <c r="L18" s="2078"/>
      <c r="M18" s="2078"/>
      <c r="N18" s="2079"/>
      <c r="O18" s="2078"/>
      <c r="P18" s="2079"/>
      <c r="Q18" s="2027"/>
      <c r="R18" s="2027"/>
      <c r="S18" s="2027"/>
      <c r="T18" s="2027"/>
      <c r="U18" s="2027"/>
      <c r="V18" s="2027"/>
    </row>
    <row r="19" spans="1:22" ht="37.5" customHeight="1" thickTop="1" thickBot="1">
      <c r="A19" s="373" t="s">
        <v>1803</v>
      </c>
      <c r="B19" s="352" t="s">
        <v>1804</v>
      </c>
      <c r="C19" s="2086" t="s">
        <v>3087</v>
      </c>
      <c r="D19" s="2087" t="s">
        <v>1805</v>
      </c>
      <c r="E19" s="2088" t="s">
        <v>70</v>
      </c>
      <c r="F19" s="2089" t="str">
        <f>IF(AND(C19="是",E19="否"),"是否提供他项权证或相关说明","")</f>
        <v/>
      </c>
      <c r="G19" s="2090" t="s">
        <v>70</v>
      </c>
      <c r="H19" s="2040"/>
      <c r="I19" s="2040"/>
      <c r="J19" s="2040"/>
      <c r="K19" s="2049"/>
      <c r="L19" s="2026"/>
      <c r="M19" s="2026"/>
      <c r="N19" s="2079"/>
      <c r="O19" s="2078"/>
      <c r="P19" s="2079"/>
      <c r="Q19" s="2027"/>
      <c r="R19" s="2027"/>
      <c r="S19" s="2027"/>
      <c r="T19" s="2027"/>
      <c r="U19" s="2027"/>
      <c r="V19" s="2027"/>
    </row>
    <row r="20" spans="1:22" ht="18" customHeight="1">
      <c r="A20" s="2091" t="s">
        <v>1806</v>
      </c>
      <c r="B20" s="3031" t="s">
        <v>1807</v>
      </c>
      <c r="C20" s="3032"/>
      <c r="D20" s="3033" t="s">
        <v>1808</v>
      </c>
      <c r="E20" s="3034"/>
      <c r="F20" s="2092" t="s">
        <v>1809</v>
      </c>
      <c r="G20" s="2040"/>
      <c r="H20" s="2040"/>
      <c r="I20" s="2040"/>
      <c r="J20" s="2040"/>
      <c r="K20" s="3030" t="s">
        <v>1810</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6"/>
      <c r="N20" s="2079"/>
      <c r="O20" s="2078"/>
      <c r="P20" s="2079"/>
      <c r="Q20" s="2027"/>
      <c r="R20" s="2027"/>
      <c r="S20" s="2027"/>
      <c r="T20" s="2027"/>
      <c r="U20" s="2027"/>
      <c r="V20" s="2027"/>
    </row>
    <row r="21" spans="1:22" ht="24.75" customHeight="1">
      <c r="A21" s="2091"/>
      <c r="B21" s="2093" t="s">
        <v>1811</v>
      </c>
      <c r="C21" s="2094" t="s">
        <v>3125</v>
      </c>
      <c r="D21" s="2095" t="s">
        <v>1812</v>
      </c>
      <c r="E21" s="2096" t="s">
        <v>70</v>
      </c>
      <c r="F21" s="2097"/>
      <c r="G21" s="2040"/>
      <c r="H21" s="2040"/>
      <c r="I21" s="2040"/>
      <c r="J21" s="2040"/>
      <c r="K21" s="303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9"/>
      <c r="O21" s="2078"/>
      <c r="P21" s="2079"/>
      <c r="Q21" s="2027"/>
      <c r="R21" s="2027"/>
      <c r="S21" s="2027"/>
      <c r="T21" s="2027"/>
      <c r="U21" s="2027"/>
      <c r="V21" s="2027"/>
    </row>
    <row r="22" spans="1:22" ht="24.75" customHeight="1" thickBot="1">
      <c r="A22" s="2091"/>
      <c r="B22" s="2098" t="s">
        <v>1813</v>
      </c>
      <c r="C22" s="2094" t="s">
        <v>1814</v>
      </c>
      <c r="D22" s="2024"/>
      <c r="E22" s="2024"/>
      <c r="F22" s="2099"/>
      <c r="G22" s="2040"/>
      <c r="H22" s="2040"/>
      <c r="I22" s="2040"/>
      <c r="J22" s="2040"/>
      <c r="K22" s="303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1815</v>
      </c>
      <c r="B23" s="183" t="s">
        <v>1816</v>
      </c>
      <c r="C23" s="2101"/>
      <c r="D23" s="2102" t="s">
        <v>1816</v>
      </c>
      <c r="E23" s="2103"/>
      <c r="F23" s="2099"/>
      <c r="G23" s="2040"/>
      <c r="H23" s="2040"/>
      <c r="I23" s="2040"/>
      <c r="J23" s="2040"/>
      <c r="K23" s="2104"/>
      <c r="L23" s="748"/>
      <c r="M23" s="2026"/>
      <c r="N23" s="2079"/>
      <c r="O23" s="2078"/>
      <c r="P23" s="2079"/>
      <c r="Q23" s="2027"/>
      <c r="R23" s="2027"/>
      <c r="S23" s="2027"/>
      <c r="T23" s="2027"/>
      <c r="U23" s="2027"/>
      <c r="V23" s="2027"/>
    </row>
    <row r="24" spans="1:22" ht="18" customHeight="1">
      <c r="A24" s="2105"/>
      <c r="B24" s="183" t="s">
        <v>1817</v>
      </c>
      <c r="C24" s="2106"/>
      <c r="D24" s="2100" t="s">
        <v>1817</v>
      </c>
      <c r="E24" s="2107"/>
      <c r="F24" s="2099"/>
      <c r="G24" s="2040"/>
      <c r="H24" s="2040"/>
      <c r="I24" s="2040"/>
      <c r="J24" s="2040"/>
      <c r="K24" s="2104"/>
      <c r="L24" s="748"/>
      <c r="M24" s="2026"/>
      <c r="N24" s="2079"/>
      <c r="O24" s="2078"/>
      <c r="P24" s="2079"/>
      <c r="Q24" s="2027"/>
      <c r="R24" s="2027"/>
      <c r="S24" s="2027"/>
      <c r="T24" s="2027"/>
      <c r="U24" s="2027"/>
      <c r="V24" s="2027"/>
    </row>
    <row r="25" spans="1:22" ht="18" customHeight="1">
      <c r="A25" s="2105"/>
      <c r="B25" s="183" t="s">
        <v>1818</v>
      </c>
      <c r="C25" s="2106"/>
      <c r="D25" s="2100" t="s">
        <v>1818</v>
      </c>
      <c r="E25" s="2107"/>
      <c r="F25" s="2099"/>
      <c r="G25" s="2040"/>
      <c r="H25" s="2040"/>
      <c r="I25" s="2040"/>
      <c r="J25" s="2040"/>
      <c r="K25" s="2049"/>
      <c r="L25" s="2026"/>
      <c r="M25" s="2026"/>
      <c r="N25" s="2079"/>
      <c r="O25" s="2078"/>
      <c r="P25" s="2079"/>
      <c r="Q25" s="2027"/>
      <c r="R25" s="2027"/>
      <c r="S25" s="2027"/>
      <c r="T25" s="2027"/>
      <c r="U25" s="2027"/>
      <c r="V25" s="2027"/>
    </row>
    <row r="26" spans="1:22" ht="18" customHeight="1" thickBot="1">
      <c r="A26" s="2108"/>
      <c r="B26" s="2109" t="s">
        <v>1819</v>
      </c>
      <c r="C26" s="2110"/>
      <c r="D26" s="2111" t="s">
        <v>1820</v>
      </c>
      <c r="E26" s="2112"/>
      <c r="F26" s="2113"/>
      <c r="G26" s="2057"/>
      <c r="H26" s="2057"/>
      <c r="I26" s="2057"/>
      <c r="J26" s="2040"/>
      <c r="K26" s="2049"/>
      <c r="L26" s="2026"/>
      <c r="M26" s="2026"/>
      <c r="N26" s="2079"/>
      <c r="O26" s="2078"/>
      <c r="P26" s="2079"/>
      <c r="Q26" s="2027"/>
      <c r="R26" s="2027"/>
      <c r="S26" s="2027"/>
      <c r="T26" s="2027"/>
      <c r="U26" s="2027"/>
      <c r="V26" s="2027"/>
    </row>
    <row r="27" spans="1:22" ht="18" customHeight="1" thickTop="1">
      <c r="A27" s="3048" t="s">
        <v>1821</v>
      </c>
      <c r="B27" s="2058" t="s">
        <v>1822</v>
      </c>
      <c r="C27" s="2114" t="s">
        <v>3126</v>
      </c>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48"/>
      <c r="B28" s="2033" t="s">
        <v>1823</v>
      </c>
      <c r="C28" s="2116" t="s">
        <v>3063</v>
      </c>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48"/>
      <c r="B29" s="2033" t="s">
        <v>1824</v>
      </c>
      <c r="C29" s="2119" t="s">
        <v>3087</v>
      </c>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49"/>
      <c r="B30" s="2033" t="s">
        <v>1825</v>
      </c>
      <c r="C30" s="3050"/>
      <c r="D30" s="3051"/>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052" t="s">
        <v>1826</v>
      </c>
      <c r="B31" s="2121"/>
      <c r="C31" s="2122" t="str">
        <f>IF(B31="现房","成新及维护状况正常否",IF(B31="在建","工程状态是否正常",IF(B31="土地","是否闲置","-")))</f>
        <v>-</v>
      </c>
      <c r="D31" s="2123"/>
      <c r="E31" s="2124"/>
      <c r="F31" s="2040"/>
      <c r="G31" s="2040"/>
      <c r="H31" s="2040"/>
      <c r="I31" s="2040"/>
      <c r="J31" s="2040"/>
      <c r="K31" s="2048"/>
      <c r="L31" s="2026"/>
      <c r="M31" s="2026"/>
      <c r="N31" s="2027"/>
      <c r="O31" s="2028"/>
      <c r="P31" s="2027"/>
      <c r="Q31" s="2027"/>
      <c r="R31" s="2027"/>
      <c r="S31" s="2027"/>
      <c r="T31" s="2027"/>
      <c r="U31" s="2027"/>
      <c r="V31" s="2027"/>
    </row>
    <row r="32" spans="1:22" ht="18" customHeight="1">
      <c r="A32" s="3053"/>
      <c r="B32" s="2121"/>
      <c r="C32" s="2122" t="str">
        <f>IF(B32="现房","成新及维护状况是否正常",IF(B32="在建","工程状态是否正常",IF(B32="土地","是否闲置","-")))</f>
        <v>-</v>
      </c>
      <c r="D32" s="2123"/>
      <c r="E32" s="2124"/>
      <c r="F32" s="2040"/>
      <c r="G32" s="2040"/>
      <c r="H32" s="2040"/>
      <c r="I32" s="2040"/>
      <c r="J32" s="2040"/>
      <c r="K32" s="2049"/>
      <c r="L32" s="2026"/>
      <c r="M32" s="2026"/>
      <c r="N32" s="2027"/>
      <c r="O32" s="2028"/>
      <c r="P32" s="2027"/>
      <c r="Q32" s="2027"/>
      <c r="R32" s="2027"/>
      <c r="S32" s="2027"/>
      <c r="T32" s="2027"/>
      <c r="U32" s="2027"/>
      <c r="V32" s="2027"/>
    </row>
    <row r="33" spans="1:22" ht="18" customHeight="1">
      <c r="A33" s="3053"/>
      <c r="B33" s="2125"/>
      <c r="C33" s="2065" t="str">
        <f>IF(B33="现房","成新及维护状况是否正常",IF(B33="在建","工程状态是否正常",IF(B33="土地","是否闲置","-")))</f>
        <v>-</v>
      </c>
      <c r="D33" s="2126"/>
      <c r="E33" s="2127"/>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1827</v>
      </c>
      <c r="B34" s="2128"/>
      <c r="C34" s="2128"/>
      <c r="D34" s="2128"/>
      <c r="E34" s="2128"/>
      <c r="F34" s="2128"/>
      <c r="G34" s="2128"/>
      <c r="H34" s="2128"/>
      <c r="I34" s="2040"/>
      <c r="J34" s="2040"/>
      <c r="K34" s="1794">
        <f>COUNTIF(B34:H34,"——")</f>
        <v>0</v>
      </c>
      <c r="L34" s="2069" t="s">
        <v>1828</v>
      </c>
      <c r="M34" s="2069" t="s">
        <v>1829</v>
      </c>
      <c r="N34" s="2069" t="s">
        <v>1830</v>
      </c>
      <c r="O34" s="2069" t="s">
        <v>1831</v>
      </c>
      <c r="P34" s="2069" t="s">
        <v>1832</v>
      </c>
      <c r="Q34" s="2069" t="s">
        <v>1833</v>
      </c>
      <c r="R34" s="2069" t="s">
        <v>1834</v>
      </c>
      <c r="S34" s="3047" t="s">
        <v>1835</v>
      </c>
      <c r="T34" s="2129" t="str">
        <f>NUMBERSTRING(7-K34,1)&amp;"通"</f>
        <v>七通</v>
      </c>
      <c r="U34" s="2027"/>
      <c r="V34" s="2027"/>
    </row>
    <row r="35" spans="1:22" ht="18" customHeight="1">
      <c r="A35" s="2130"/>
      <c r="B35" s="3054" t="s">
        <v>1836</v>
      </c>
      <c r="C35" s="3054"/>
      <c r="D35" s="3054"/>
      <c r="E35" s="3054"/>
      <c r="F35" s="2131">
        <f>C10</f>
        <v>0</v>
      </c>
      <c r="G35" s="2040"/>
      <c r="H35" s="2040"/>
      <c r="I35" s="2040"/>
      <c r="J35" s="2040"/>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7"/>
      <c r="T35" s="48" t="str">
        <f>IF(T34="一通",L35,IF(T34="二通",M35,IF(T34="三通",N35,IF(T34="四通",O35,IF(T34="五通",P35,IF(T34="六通",Q35,R35))))))</f>
        <v>、、、、、、</v>
      </c>
      <c r="U35" s="2027"/>
      <c r="V35" s="2027"/>
    </row>
    <row r="36" spans="1:22" ht="18" customHeight="1">
      <c r="A36" s="2132"/>
      <c r="B36" s="2131" t="s">
        <v>1837</v>
      </c>
      <c r="C36" s="2131" t="s">
        <v>1838</v>
      </c>
      <c r="D36" s="2131" t="s">
        <v>1839</v>
      </c>
      <c r="E36" s="2131" t="s">
        <v>1840</v>
      </c>
      <c r="F36" s="2133"/>
      <c r="G36" s="2040"/>
      <c r="H36" s="2040"/>
      <c r="I36" s="2040"/>
      <c r="J36" s="2040"/>
      <c r="K36" s="2049"/>
      <c r="L36" s="2026"/>
      <c r="M36" s="2026"/>
      <c r="N36" s="2027"/>
      <c r="O36" s="2028"/>
      <c r="P36" s="2027"/>
      <c r="Q36" s="2027"/>
      <c r="R36" s="2027"/>
      <c r="S36" s="2027"/>
      <c r="T36" s="2027"/>
      <c r="U36" s="2027"/>
      <c r="V36" s="2027"/>
    </row>
    <row r="37" spans="1:22" ht="18" customHeight="1">
      <c r="A37" s="2134" t="s">
        <v>1841</v>
      </c>
      <c r="B37" s="2135" t="s">
        <v>269</v>
      </c>
      <c r="C37" s="2135"/>
      <c r="D37" s="2135"/>
      <c r="E37" s="2135"/>
      <c r="F37" s="2133"/>
      <c r="G37" s="2040"/>
      <c r="H37" s="2040"/>
      <c r="I37" s="2040"/>
      <c r="J37" s="2040"/>
      <c r="K37" s="2049"/>
      <c r="L37" s="2026"/>
      <c r="M37" s="2026"/>
      <c r="N37" s="2027"/>
      <c r="O37" s="2028"/>
      <c r="P37" s="2027"/>
      <c r="Q37" s="2027"/>
      <c r="R37" s="2027"/>
      <c r="S37" s="2027"/>
      <c r="T37" s="2027"/>
      <c r="U37" s="2027"/>
      <c r="V37" s="2027"/>
    </row>
    <row r="38" spans="1:22" ht="18" customHeight="1" thickBot="1">
      <c r="A38" s="2136" t="s">
        <v>1842</v>
      </c>
      <c r="B38" s="2137" t="s">
        <v>311</v>
      </c>
      <c r="C38" s="2137"/>
      <c r="D38" s="2137"/>
      <c r="E38" s="2137"/>
      <c r="F38" s="2138"/>
      <c r="G38" s="2057"/>
      <c r="H38" s="2057"/>
      <c r="I38" s="2057"/>
      <c r="J38" s="2040"/>
      <c r="K38" s="2049"/>
      <c r="L38" s="2026"/>
      <c r="M38" s="2026"/>
      <c r="N38" s="2027"/>
      <c r="O38" s="2028"/>
      <c r="P38" s="2027"/>
      <c r="Q38" s="2027"/>
      <c r="R38" s="2027"/>
      <c r="S38" s="2027"/>
      <c r="T38" s="2027"/>
      <c r="U38" s="2027"/>
      <c r="V38" s="2027"/>
    </row>
    <row r="39" spans="1:22" s="2143" customFormat="1" ht="18" customHeight="1" thickTop="1" thickBot="1">
      <c r="A39" s="2139" t="s">
        <v>1843</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6"/>
      <c r="L40" s="2078"/>
      <c r="M40" s="2078"/>
      <c r="N40" s="2079"/>
      <c r="O40" s="2078"/>
      <c r="P40" s="2027"/>
      <c r="Q40" s="2027"/>
      <c r="R40" s="2027"/>
      <c r="S40" s="2027"/>
      <c r="T40" s="2027"/>
      <c r="U40" s="2027"/>
      <c r="V40" s="2027"/>
    </row>
    <row r="41" spans="1:22" ht="18" customHeight="1">
      <c r="A41" s="8" t="s">
        <v>1844</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1845</v>
      </c>
      <c r="B42" s="1794" t="s">
        <v>1846</v>
      </c>
      <c r="C42" s="1794" t="s">
        <v>1847</v>
      </c>
      <c r="D42" s="1794" t="s">
        <v>1848</v>
      </c>
      <c r="E42" s="1794" t="s">
        <v>1849</v>
      </c>
      <c r="F42" s="1794" t="s">
        <v>1850</v>
      </c>
      <c r="G42" s="1794" t="s">
        <v>1851</v>
      </c>
      <c r="H42" s="1794" t="s">
        <v>1852</v>
      </c>
      <c r="I42" s="1794" t="s">
        <v>1853</v>
      </c>
      <c r="J42" s="2147" t="s">
        <v>1854</v>
      </c>
      <c r="K42" s="2070" t="s">
        <v>1855</v>
      </c>
      <c r="L42" s="2070" t="s">
        <v>1856</v>
      </c>
      <c r="M42" s="2070" t="s">
        <v>1857</v>
      </c>
      <c r="N42" s="1794" t="s">
        <v>1858</v>
      </c>
      <c r="O42" s="1794" t="s">
        <v>1859</v>
      </c>
      <c r="P42" s="1794" t="s">
        <v>1860</v>
      </c>
      <c r="Q42" s="2069" t="s">
        <v>1861</v>
      </c>
      <c r="R42" s="2069" t="s">
        <v>1862</v>
      </c>
      <c r="S42" s="2027"/>
      <c r="T42" s="2027"/>
      <c r="U42" s="2027"/>
      <c r="V42" s="2027"/>
    </row>
    <row r="43" spans="1:22" s="2152" customFormat="1" ht="18" customHeight="1">
      <c r="A43" s="2148"/>
      <c r="B43" s="1272"/>
      <c r="C43" s="1272"/>
      <c r="D43" s="1272"/>
      <c r="E43" s="1272"/>
      <c r="F43" s="1272"/>
      <c r="G43" s="1272"/>
      <c r="H43" s="9"/>
      <c r="I43" s="9"/>
      <c r="J43" s="2149"/>
      <c r="K43" s="2150"/>
      <c r="L43" s="2150"/>
      <c r="M43" s="9"/>
      <c r="N43" s="1272"/>
      <c r="O43" s="9"/>
      <c r="P43" s="1272"/>
      <c r="Q43" s="1272"/>
      <c r="R43" s="1272"/>
      <c r="S43" s="2151"/>
      <c r="T43" s="2151"/>
      <c r="U43" s="2151"/>
      <c r="V43" s="2151"/>
    </row>
    <row r="44" spans="1:22" s="2152" customFormat="1" ht="18" customHeight="1">
      <c r="A44" s="2148"/>
      <c r="B44" s="2148"/>
      <c r="C44" s="1272"/>
      <c r="D44" s="1272"/>
      <c r="E44" s="1272"/>
      <c r="F44" s="1272"/>
      <c r="G44" s="1272"/>
      <c r="H44" s="9"/>
      <c r="I44" s="9"/>
      <c r="J44" s="2149"/>
      <c r="K44" s="2150"/>
      <c r="L44" s="2150"/>
      <c r="M44" s="9"/>
      <c r="N44" s="1272"/>
      <c r="O44" s="9"/>
      <c r="P44" s="1272"/>
      <c r="Q44" s="1272"/>
      <c r="R44" s="1272"/>
      <c r="S44" s="2151"/>
      <c r="T44" s="2151"/>
      <c r="U44" s="2151"/>
      <c r="V44" s="2151"/>
    </row>
    <row r="45" spans="1:22" s="2152" customFormat="1" ht="18" customHeight="1">
      <c r="A45" s="2148"/>
      <c r="B45" s="2148"/>
      <c r="C45" s="1272"/>
      <c r="D45" s="1272"/>
      <c r="E45" s="1272"/>
      <c r="F45" s="1272"/>
      <c r="G45" s="1272"/>
      <c r="H45" s="9"/>
      <c r="I45" s="9"/>
      <c r="J45" s="2149"/>
      <c r="K45" s="2150"/>
      <c r="L45" s="2150"/>
      <c r="M45" s="9"/>
      <c r="N45" s="1272"/>
      <c r="O45" s="9"/>
      <c r="P45" s="1272"/>
      <c r="Q45" s="1272"/>
      <c r="R45" s="1272"/>
      <c r="S45" s="2151"/>
      <c r="T45" s="2151"/>
      <c r="U45" s="2151"/>
      <c r="V45" s="2151"/>
    </row>
    <row r="46" spans="1:22" s="2152" customFormat="1" ht="18" customHeight="1">
      <c r="A46" s="2148"/>
      <c r="B46" s="2148"/>
      <c r="C46" s="1272"/>
      <c r="D46" s="1272"/>
      <c r="E46" s="1272"/>
      <c r="F46" s="1272"/>
      <c r="G46" s="1272"/>
      <c r="H46" s="9"/>
      <c r="I46" s="9"/>
      <c r="J46" s="2149"/>
      <c r="K46" s="2150"/>
      <c r="L46" s="2150"/>
      <c r="M46" s="9"/>
      <c r="N46" s="1272"/>
      <c r="O46" s="9"/>
      <c r="P46" s="1272"/>
      <c r="Q46" s="1272"/>
      <c r="R46" s="1272"/>
      <c r="S46" s="2151"/>
      <c r="T46" s="2151"/>
      <c r="U46" s="2151"/>
      <c r="V46" s="2151"/>
    </row>
    <row r="47" spans="1:22" s="2152" customFormat="1" ht="18" customHeight="1">
      <c r="A47" s="2148"/>
      <c r="B47" s="2148"/>
      <c r="C47" s="1272"/>
      <c r="D47" s="1272"/>
      <c r="E47" s="1272"/>
      <c r="F47" s="1272"/>
      <c r="G47" s="1272"/>
      <c r="H47" s="9"/>
      <c r="I47" s="9"/>
      <c r="J47" s="2149"/>
      <c r="K47" s="2150"/>
      <c r="L47" s="2150"/>
      <c r="M47" s="9"/>
      <c r="N47" s="1272"/>
      <c r="O47" s="9"/>
      <c r="P47" s="1272"/>
      <c r="Q47" s="1272"/>
      <c r="R47" s="1272"/>
      <c r="S47" s="2151"/>
      <c r="T47" s="2151"/>
      <c r="U47" s="2151"/>
      <c r="V47" s="2151"/>
    </row>
    <row r="48" spans="1:22" s="2152" customFormat="1" ht="18" customHeight="1">
      <c r="A48" s="2148"/>
      <c r="B48" s="2148"/>
      <c r="C48" s="1272"/>
      <c r="D48" s="1272"/>
      <c r="E48" s="1272"/>
      <c r="F48" s="1272"/>
      <c r="G48" s="1272"/>
      <c r="H48" s="9"/>
      <c r="I48" s="9"/>
      <c r="J48" s="2149"/>
      <c r="K48" s="2150"/>
      <c r="L48" s="2150"/>
      <c r="M48" s="9"/>
      <c r="N48" s="1272"/>
      <c r="O48" s="9"/>
      <c r="P48" s="1272"/>
      <c r="Q48" s="1272"/>
      <c r="R48" s="1272"/>
      <c r="S48" s="2151"/>
      <c r="T48" s="2151"/>
      <c r="U48" s="2151"/>
      <c r="V48" s="2151"/>
    </row>
    <row r="49" spans="1:22" s="2152" customFormat="1" ht="18" customHeight="1">
      <c r="A49" s="2148"/>
      <c r="B49" s="2148"/>
      <c r="C49" s="1272"/>
      <c r="D49" s="1272"/>
      <c r="E49" s="1272"/>
      <c r="F49" s="1272"/>
      <c r="G49" s="1272"/>
      <c r="H49" s="9"/>
      <c r="I49" s="9"/>
      <c r="J49" s="2149"/>
      <c r="K49" s="2150"/>
      <c r="L49" s="2150"/>
      <c r="M49" s="9"/>
      <c r="N49" s="1272"/>
      <c r="O49" s="9"/>
      <c r="P49" s="1272"/>
      <c r="Q49" s="1272"/>
      <c r="R49" s="1272"/>
      <c r="S49" s="2151"/>
      <c r="T49" s="2151"/>
      <c r="U49" s="2151"/>
      <c r="V49" s="2151"/>
    </row>
    <row r="50" spans="1:22" s="2152" customFormat="1" ht="18" customHeight="1">
      <c r="A50" s="2148"/>
      <c r="B50" s="2148"/>
      <c r="C50" s="1272"/>
      <c r="D50" s="1272"/>
      <c r="E50" s="1272"/>
      <c r="F50" s="1272"/>
      <c r="G50" s="1272"/>
      <c r="H50" s="9"/>
      <c r="I50" s="9"/>
      <c r="J50" s="2149"/>
      <c r="K50" s="2150"/>
      <c r="L50" s="2150"/>
      <c r="M50" s="9"/>
      <c r="N50" s="1272"/>
      <c r="O50" s="9"/>
      <c r="P50" s="1272"/>
      <c r="Q50" s="1272"/>
      <c r="R50" s="1272"/>
      <c r="S50" s="2151"/>
      <c r="T50" s="2151"/>
      <c r="U50" s="2151"/>
      <c r="V50" s="2151"/>
    </row>
    <row r="51" spans="1:22" s="2152" customFormat="1" ht="18" customHeight="1">
      <c r="A51" s="2148"/>
      <c r="B51" s="2148"/>
      <c r="C51" s="1272"/>
      <c r="D51" s="1272"/>
      <c r="E51" s="1272"/>
      <c r="F51" s="1272"/>
      <c r="G51" s="1272"/>
      <c r="H51" s="9"/>
      <c r="I51" s="9"/>
      <c r="J51" s="2149"/>
      <c r="K51" s="2150"/>
      <c r="L51" s="2150"/>
      <c r="M51" s="9"/>
      <c r="N51" s="1272"/>
      <c r="O51" s="9"/>
      <c r="P51" s="1272"/>
      <c r="Q51" s="1272"/>
      <c r="R51" s="1272"/>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1863</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1864</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1865</v>
      </c>
      <c r="B2" s="11" t="s">
        <v>1866</v>
      </c>
      <c r="C2" s="11" t="s">
        <v>1867</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9" t="s">
        <v>1868</v>
      </c>
      <c r="AZ2" s="1270" t="s">
        <v>1869</v>
      </c>
      <c r="BA2" s="11" t="s">
        <v>1870</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7779.45</v>
      </c>
      <c r="B3" s="14">
        <f>IF(C3="否",G5-AT5,G5)</f>
        <v>51328.59</v>
      </c>
      <c r="C3" s="2163" t="s">
        <v>1871</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1"/>
      <c r="AZ3" s="1272"/>
      <c r="BA3" s="1273"/>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1872</v>
      </c>
      <c r="B5" s="1802"/>
      <c r="C5" s="1802"/>
      <c r="D5" s="1805"/>
      <c r="E5" s="16" t="s">
        <v>1</v>
      </c>
      <c r="F5" s="16">
        <f>SUM(F13:F587)</f>
        <v>0</v>
      </c>
      <c r="G5" s="16">
        <f>SUM(G13:G587)</f>
        <v>51328.59</v>
      </c>
      <c r="H5" s="16">
        <f t="shared" ref="H5:AT5" si="0">SUM(H13:H656)</f>
        <v>51328.59</v>
      </c>
      <c r="I5" s="16">
        <f t="shared" si="0"/>
        <v>34093.799999999996</v>
      </c>
      <c r="J5" s="16">
        <f t="shared" si="0"/>
        <v>0</v>
      </c>
      <c r="K5" s="16">
        <f t="shared" si="0"/>
        <v>17234.79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1872</v>
      </c>
      <c r="AW5" s="1802"/>
      <c r="AX5" s="1802"/>
      <c r="AY5" s="17" t="s">
        <v>3</v>
      </c>
      <c r="AZ5" s="18">
        <f t="shared" ref="AZ5:BT5" si="1">SUM(AZ13:AZ656)</f>
        <v>51328.59</v>
      </c>
      <c r="BA5" s="18">
        <f t="shared" si="1"/>
        <v>51328.59</v>
      </c>
      <c r="BB5" s="18">
        <f t="shared" si="1"/>
        <v>34093.799999999996</v>
      </c>
      <c r="BC5" s="18">
        <f t="shared" si="1"/>
        <v>17234.79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1873</v>
      </c>
      <c r="B6" s="2169"/>
      <c r="C6" s="2169"/>
      <c r="D6" s="2170"/>
      <c r="E6" s="16">
        <f>H6+AC6+AT6</f>
        <v>7779.45</v>
      </c>
      <c r="F6" s="16" t="s">
        <v>1</v>
      </c>
      <c r="G6" s="16" t="s">
        <v>2</v>
      </c>
      <c r="H6" s="20">
        <f>SUMIF(I$12:AB$12,"总值",I6:AB6)</f>
        <v>7779.45</v>
      </c>
      <c r="I6" s="16">
        <f t="shared" ref="I6:AB6" si="2">ROUND($A$3*I5/$B$3,2)</f>
        <v>5167.32</v>
      </c>
      <c r="J6" s="16">
        <f t="shared" si="2"/>
        <v>0</v>
      </c>
      <c r="K6" s="16">
        <f t="shared" si="2"/>
        <v>2612.13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1873</v>
      </c>
      <c r="AW6" s="2169"/>
      <c r="AX6" s="2169"/>
      <c r="AY6" s="21">
        <f>IF(AY3&gt;0,AY3,ROUND($A$3*AZ5/$B$3,2))</f>
        <v>7779.45</v>
      </c>
      <c r="AZ6" s="16" t="s">
        <v>3</v>
      </c>
      <c r="BA6" s="16">
        <f>ROUND($AY$6*BA5/$AZ$5,2)</f>
        <v>7779.45</v>
      </c>
      <c r="BB6" s="16">
        <f>ROUND($AY$6*BB5/$AZ$5,2)</f>
        <v>5167.32</v>
      </c>
      <c r="BC6" s="16">
        <f t="shared" ref="BC6:BH6" si="4">ROUND($AY$6*BC5/$AZ$5,2)</f>
        <v>2612.13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1874</v>
      </c>
      <c r="B7" s="2104" t="s">
        <v>1875</v>
      </c>
      <c r="C7" s="2104" t="s">
        <v>1876</v>
      </c>
      <c r="D7" s="2104" t="s">
        <v>1877</v>
      </c>
      <c r="E7" s="2104" t="s">
        <v>1878</v>
      </c>
      <c r="F7" s="2104" t="s">
        <v>1879</v>
      </c>
      <c r="G7" s="2173" t="s">
        <v>1880</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1881</v>
      </c>
      <c r="AV7" s="23" t="s">
        <v>1882</v>
      </c>
      <c r="AW7" s="2161" t="s">
        <v>1883</v>
      </c>
      <c r="AX7" s="23" t="s">
        <v>1876</v>
      </c>
      <c r="AY7" s="1802" t="s">
        <v>1884</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1885</v>
      </c>
      <c r="H8" s="2179" t="s">
        <v>1886</v>
      </c>
      <c r="I8" s="2180"/>
      <c r="J8" s="1817"/>
      <c r="K8" s="1817"/>
      <c r="L8" s="1817"/>
      <c r="M8" s="1817"/>
      <c r="N8" s="1817"/>
      <c r="O8" s="1817"/>
      <c r="P8" s="1817"/>
      <c r="Q8" s="1817"/>
      <c r="R8" s="1817"/>
      <c r="S8" s="1817"/>
      <c r="T8" s="1817"/>
      <c r="U8" s="1817"/>
      <c r="V8" s="2181"/>
      <c r="W8" s="1817"/>
      <c r="X8" s="1817"/>
      <c r="Y8" s="1817"/>
      <c r="Z8" s="1817"/>
      <c r="AA8" s="2181"/>
      <c r="AB8" s="2182"/>
      <c r="AC8" s="981" t="s">
        <v>1887</v>
      </c>
      <c r="AD8" s="2183"/>
      <c r="AE8" s="2175"/>
      <c r="AF8" s="1817"/>
      <c r="AG8" s="1817"/>
      <c r="AH8" s="1817"/>
      <c r="AI8" s="1817"/>
      <c r="AJ8" s="1817"/>
      <c r="AK8" s="1817"/>
      <c r="AL8" s="1817"/>
      <c r="AM8" s="1817"/>
      <c r="AN8" s="1817"/>
      <c r="AO8" s="1817"/>
      <c r="AP8" s="1817"/>
      <c r="AQ8" s="1817"/>
      <c r="AR8" s="1817"/>
      <c r="AS8" s="1817"/>
      <c r="AT8" s="1292" t="s">
        <v>1888</v>
      </c>
      <c r="AU8" s="2177" t="s">
        <v>1889</v>
      </c>
      <c r="AV8" s="1292"/>
      <c r="AW8" s="2160"/>
      <c r="AX8" s="1292"/>
      <c r="AY8" s="2161" t="s">
        <v>1890</v>
      </c>
      <c r="AZ8" s="1816" t="s">
        <v>1891</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2"/>
      <c r="H9" s="2185" t="s">
        <v>1892</v>
      </c>
      <c r="I9" s="2186" t="s">
        <v>3061</v>
      </c>
      <c r="J9" s="981"/>
      <c r="K9" s="2186" t="s">
        <v>3062</v>
      </c>
      <c r="L9" s="981"/>
      <c r="M9" s="2186"/>
      <c r="N9" s="981"/>
      <c r="O9" s="2186"/>
      <c r="P9" s="981"/>
      <c r="Q9" s="2186"/>
      <c r="R9" s="981"/>
      <c r="S9" s="2186"/>
      <c r="T9" s="981"/>
      <c r="U9" s="2186"/>
      <c r="V9" s="981"/>
      <c r="W9" s="2186"/>
      <c r="X9" s="2187"/>
      <c r="Y9" s="2186"/>
      <c r="Z9" s="981"/>
      <c r="AA9" s="2186"/>
      <c r="AB9" s="981"/>
      <c r="AC9" s="2178"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88"/>
      <c r="AT9" s="2177"/>
      <c r="AU9" s="2177" t="s">
        <v>1895</v>
      </c>
      <c r="AV9" s="1292"/>
      <c r="AW9" s="2160"/>
      <c r="AX9" s="1292"/>
      <c r="AY9" s="28"/>
      <c r="AZ9" s="28" t="s">
        <v>1885</v>
      </c>
      <c r="BA9" s="2189" t="s">
        <v>1896</v>
      </c>
      <c r="BB9" s="2190"/>
      <c r="BC9" s="1338"/>
      <c r="BD9" s="1338"/>
      <c r="BE9" s="1338"/>
      <c r="BF9" s="1338"/>
      <c r="BG9" s="1338"/>
      <c r="BH9" s="1338"/>
      <c r="BI9" s="1338"/>
      <c r="BJ9" s="1338"/>
      <c r="BK9" s="2191"/>
      <c r="BL9" s="15" t="s">
        <v>1897</v>
      </c>
      <c r="BM9" s="1817"/>
      <c r="BN9" s="2180"/>
      <c r="BO9" s="1817"/>
      <c r="BP9" s="1817"/>
      <c r="BQ9" s="1817"/>
      <c r="BR9" s="1817"/>
      <c r="BS9" s="1817"/>
      <c r="BT9" s="26"/>
    </row>
    <row r="10" spans="1:72" s="2184" customFormat="1" ht="12.75">
      <c r="A10" s="2177"/>
      <c r="B10" s="2177"/>
      <c r="C10" s="2177"/>
      <c r="D10" s="2177"/>
      <c r="E10" s="2177"/>
      <c r="F10" s="2177"/>
      <c r="G10" s="1292"/>
      <c r="H10" s="28"/>
      <c r="I10" s="2186" t="s">
        <v>1372</v>
      </c>
      <c r="J10" s="981"/>
      <c r="K10" s="2192" t="s">
        <v>1372</v>
      </c>
      <c r="L10" s="981"/>
      <c r="M10" s="2192"/>
      <c r="N10" s="981"/>
      <c r="O10" s="2192"/>
      <c r="P10" s="981"/>
      <c r="Q10" s="2192"/>
      <c r="R10" s="981"/>
      <c r="S10" s="2192"/>
      <c r="T10" s="981"/>
      <c r="U10" s="2192"/>
      <c r="V10" s="981"/>
      <c r="W10" s="2192"/>
      <c r="X10" s="981"/>
      <c r="Y10" s="2192"/>
      <c r="Z10" s="981"/>
      <c r="AA10" s="2192"/>
      <c r="AB10" s="981"/>
      <c r="AC10" s="1292"/>
      <c r="AD10" s="15" t="s">
        <v>1898</v>
      </c>
      <c r="AE10" s="2193"/>
      <c r="AF10" s="15" t="s">
        <v>1898</v>
      </c>
      <c r="AG10" s="2193"/>
      <c r="AH10" s="15" t="s">
        <v>1899</v>
      </c>
      <c r="AI10" s="2193"/>
      <c r="AJ10" s="15" t="s">
        <v>1899</v>
      </c>
      <c r="AK10" s="2193"/>
      <c r="AL10" s="15" t="s">
        <v>1900</v>
      </c>
      <c r="AM10" s="1298"/>
      <c r="AN10" s="15" t="s">
        <v>1900</v>
      </c>
      <c r="AO10" s="1298"/>
      <c r="AP10" s="15" t="s">
        <v>1901</v>
      </c>
      <c r="AQ10" s="1298"/>
      <c r="AR10" s="15" t="s">
        <v>1901</v>
      </c>
      <c r="AS10" s="1298"/>
      <c r="AT10" s="2177"/>
      <c r="AU10" s="2177"/>
      <c r="AV10" s="1292"/>
      <c r="AW10" s="2160"/>
      <c r="AX10" s="1292"/>
      <c r="AY10" s="28"/>
      <c r="AZ10" s="28"/>
      <c r="BA10" s="2194" t="s">
        <v>1892</v>
      </c>
      <c r="BB10" s="2195" t="str">
        <f>I9</f>
        <v>地上</v>
      </c>
      <c r="BC10" s="29" t="str">
        <f>K9</f>
        <v>地下</v>
      </c>
      <c r="BD10" s="29">
        <f>M9</f>
        <v>0</v>
      </c>
      <c r="BE10" s="29">
        <f>O9</f>
        <v>0</v>
      </c>
      <c r="BF10" s="29">
        <f>Q9</f>
        <v>0</v>
      </c>
      <c r="BG10" s="29">
        <f>S9</f>
        <v>0</v>
      </c>
      <c r="BH10" s="29">
        <f>U9</f>
        <v>0</v>
      </c>
      <c r="BI10" s="29">
        <f>W9</f>
        <v>0</v>
      </c>
      <c r="BJ10" s="29">
        <f>Y9</f>
        <v>0</v>
      </c>
      <c r="BK10" s="29">
        <f>AA9</f>
        <v>0</v>
      </c>
      <c r="BL10" s="25" t="s">
        <v>1892</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2"/>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92"/>
      <c r="AD11" s="2199" t="s">
        <v>1902</v>
      </c>
      <c r="AE11" s="1818"/>
      <c r="AF11" s="2199" t="s">
        <v>1902</v>
      </c>
      <c r="AG11" s="1818"/>
      <c r="AH11" s="2199" t="s">
        <v>1903</v>
      </c>
      <c r="AI11" s="2200"/>
      <c r="AJ11" s="2199" t="s">
        <v>1903</v>
      </c>
      <c r="AK11" s="1818"/>
      <c r="AL11" s="1816"/>
      <c r="AM11" s="1818"/>
      <c r="AN11" s="1816"/>
      <c r="AO11" s="1818"/>
      <c r="AP11" s="1816"/>
      <c r="AQ11" s="1818"/>
      <c r="AR11" s="1816"/>
      <c r="AS11" s="1818"/>
      <c r="AT11" s="2160"/>
      <c r="AU11" s="2177"/>
      <c r="AV11" s="1292"/>
      <c r="AW11" s="2160"/>
      <c r="AX11" s="1292"/>
      <c r="AY11" s="28"/>
      <c r="AZ11" s="28"/>
      <c r="BA11" s="28"/>
      <c r="BB11" s="2182" t="str">
        <f>I10</f>
        <v>商业</v>
      </c>
      <c r="BC11" s="2182" t="str">
        <f>K10</f>
        <v>商业</v>
      </c>
      <c r="BD11" s="2182">
        <f>M10</f>
        <v>0</v>
      </c>
      <c r="BE11" s="2182">
        <f>O10</f>
        <v>0</v>
      </c>
      <c r="BF11" s="2182">
        <f>Q10</f>
        <v>0</v>
      </c>
      <c r="BG11" s="2182">
        <f>S10</f>
        <v>0</v>
      </c>
      <c r="BH11" s="2182">
        <f>U10</f>
        <v>0</v>
      </c>
      <c r="BI11" s="2182">
        <f>W10</f>
        <v>0</v>
      </c>
      <c r="BJ11" s="2182">
        <f>Y10</f>
        <v>0</v>
      </c>
      <c r="BK11" s="2182">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1" t="s">
        <v>1905</v>
      </c>
      <c r="W12" s="11" t="s">
        <v>1904</v>
      </c>
      <c r="X12" s="11" t="s">
        <v>1905</v>
      </c>
      <c r="Y12" s="11" t="s">
        <v>1904</v>
      </c>
      <c r="Z12" s="11" t="s">
        <v>1905</v>
      </c>
      <c r="AA12" s="11" t="s">
        <v>1904</v>
      </c>
      <c r="AB12" s="11" t="s">
        <v>1905</v>
      </c>
      <c r="AC12" s="2204"/>
      <c r="AD12" s="1805"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2" t="s">
        <v>1905</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2.75">
      <c r="A13" s="1272"/>
      <c r="B13" s="1272"/>
      <c r="C13" s="1272"/>
      <c r="D13" s="2208" t="s">
        <v>3060</v>
      </c>
      <c r="E13" s="16">
        <f>IF($C$3="是",ROUND($A$3*G13/$B$3,2),ROUND($A$3*(G13-AT13)/$B$3,2))</f>
        <v>7779.45</v>
      </c>
      <c r="F13" s="32"/>
      <c r="G13" s="33">
        <f>H13+AC13+AT13</f>
        <v>51328.59</v>
      </c>
      <c r="H13" s="20">
        <f>SUMIF(I$12:AB$12,"总值",I13:AB13)</f>
        <v>51328.59</v>
      </c>
      <c r="I13" s="2209">
        <f>SUM(Sheet2!F3:F19)</f>
        <v>34093.799999999996</v>
      </c>
      <c r="J13" s="2209"/>
      <c r="K13" s="2209">
        <f>51328.59-I13</f>
        <v>17234.79</v>
      </c>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5">
        <f>ROUND($AY$6*AZ13/$AZ$5,2)</f>
        <v>7779.45</v>
      </c>
      <c r="AZ13" s="16">
        <f>BA13+BL13</f>
        <v>51328.59</v>
      </c>
      <c r="BA13" s="16">
        <f>SUM(BB13:BK13)</f>
        <v>51328.59</v>
      </c>
      <c r="BB13" s="16">
        <f>IF($D13="是",I13-J13,0)</f>
        <v>34093.799999999996</v>
      </c>
      <c r="BC13" s="16">
        <f>IF($D13="是",K13-L13,0)</f>
        <v>17234.79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2"/>
      <c r="B14" s="1272"/>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2"/>
      <c r="B15" s="1272"/>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2"/>
      <c r="B16" s="1272"/>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2"/>
      <c r="B17" s="1272"/>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5" t="s">
        <v>0</v>
      </c>
      <c r="B1" s="3055" t="s">
        <v>4</v>
      </c>
      <c r="C1" s="3055" t="s">
        <v>5</v>
      </c>
      <c r="D1" s="3056" t="s">
        <v>53</v>
      </c>
      <c r="E1" s="3056" t="s">
        <v>54</v>
      </c>
      <c r="F1" s="3056"/>
      <c r="G1" s="3056"/>
      <c r="H1" s="3056"/>
      <c r="I1" s="3056"/>
      <c r="J1" s="3056"/>
      <c r="K1" s="3056"/>
      <c r="L1" s="3056"/>
      <c r="M1" s="3056"/>
    </row>
    <row r="2" spans="1:13" ht="27" customHeight="1">
      <c r="A2" s="3055"/>
      <c r="B2" s="3055"/>
      <c r="C2" s="3055"/>
      <c r="D2" s="3056"/>
      <c r="E2" s="3056" t="s">
        <v>37</v>
      </c>
      <c r="F2" s="3056" t="s">
        <v>38</v>
      </c>
      <c r="G2" s="3056"/>
      <c r="H2" s="3056"/>
      <c r="I2" s="3056"/>
      <c r="J2" s="3056" t="s">
        <v>39</v>
      </c>
      <c r="K2" s="3056"/>
      <c r="L2" s="3056"/>
      <c r="M2" s="3056"/>
    </row>
    <row r="3" spans="1:13" ht="28.5">
      <c r="A3" s="3055"/>
      <c r="B3" s="3055"/>
      <c r="C3" s="3055"/>
      <c r="D3" s="3056"/>
      <c r="E3" s="30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6" t="s">
        <v>55</v>
      </c>
      <c r="B9" s="3056"/>
      <c r="C9" s="30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1931</v>
      </c>
      <c r="B1" s="1392"/>
      <c r="C1" s="1392"/>
      <c r="D1" s="1392"/>
      <c r="E1" s="1392"/>
      <c r="F1" s="1392"/>
      <c r="G1" s="1392"/>
      <c r="H1" s="1392"/>
      <c r="I1" s="1392"/>
      <c r="J1" s="1392"/>
      <c r="K1" s="1392"/>
      <c r="L1" s="1392"/>
      <c r="M1" s="1392"/>
      <c r="N1" s="1392"/>
      <c r="O1" s="1392"/>
      <c r="P1" s="1392"/>
    </row>
    <row r="2" spans="1:16" ht="15">
      <c r="A2" s="3066" t="s">
        <v>1932</v>
      </c>
      <c r="B2" s="3066"/>
      <c r="C2" s="3066"/>
      <c r="D2" s="967" t="s">
        <v>1908</v>
      </c>
      <c r="E2" s="2222" t="s">
        <v>1909</v>
      </c>
      <c r="F2" s="1392"/>
      <c r="G2" s="2223"/>
      <c r="H2" s="2224"/>
      <c r="I2" s="2225" t="s">
        <v>1933</v>
      </c>
      <c r="J2" s="1392"/>
      <c r="K2" s="1392"/>
      <c r="L2" s="1392"/>
      <c r="M2" s="1392"/>
      <c r="N2" s="1427"/>
      <c r="O2" s="1392"/>
      <c r="P2" s="1392"/>
    </row>
    <row r="3" spans="1:16" ht="15.75" thickBot="1">
      <c r="A3" s="3067" t="s">
        <v>1906</v>
      </c>
      <c r="B3" s="3067"/>
      <c r="C3" s="3067"/>
      <c r="D3" s="46">
        <f>'数据-基础表'!AY6</f>
        <v>7779.45</v>
      </c>
      <c r="E3" s="46">
        <f>'数据-基础表'!AZ5</f>
        <v>51328.59</v>
      </c>
      <c r="F3" s="1392"/>
      <c r="G3" s="1399"/>
      <c r="H3" s="1247" t="s">
        <v>1907</v>
      </c>
      <c r="I3" s="55">
        <f>ROUND('数据-基础表'!B3/'数据-基础表'!A3,2)</f>
        <v>6.6</v>
      </c>
      <c r="J3" s="1392"/>
      <c r="K3" s="1392"/>
      <c r="L3" s="1392"/>
      <c r="M3" s="1392"/>
      <c r="N3" s="1427"/>
      <c r="O3" s="1392"/>
      <c r="P3" s="1392"/>
    </row>
    <row r="4" spans="1:16" ht="15">
      <c r="A4" s="3068"/>
      <c r="B4" s="3069"/>
      <c r="C4" s="3070"/>
      <c r="D4" s="2226" t="s">
        <v>1908</v>
      </c>
      <c r="E4" s="2227" t="s">
        <v>1909</v>
      </c>
      <c r="F4" s="1392"/>
      <c r="G4" s="2228" t="s">
        <v>1934</v>
      </c>
      <c r="H4" s="1247" t="s">
        <v>1914</v>
      </c>
      <c r="I4" s="55">
        <f>ROUND(SUMIF('数据-基础表'!I9:AS9,"地上",'数据-基础表'!I5:AS5)/'数据-基础表'!A3,2)</f>
        <v>4.38</v>
      </c>
      <c r="J4" s="1392"/>
      <c r="K4" s="1392"/>
      <c r="L4" s="1392"/>
      <c r="M4" s="1392"/>
      <c r="N4" s="1427"/>
      <c r="O4" s="1392"/>
      <c r="P4" s="1392"/>
    </row>
    <row r="5" spans="1:16">
      <c r="A5" s="47" t="s">
        <v>1910</v>
      </c>
      <c r="B5" s="3071" t="s">
        <v>1911</v>
      </c>
      <c r="C5" s="3071"/>
      <c r="D5" s="48">
        <f>ROUND($D$3*E5/$E$3,2)</f>
        <v>0</v>
      </c>
      <c r="E5" s="49">
        <f>SUMIF('数据-基础表'!$11:$11,"住宅",'数据-基础表'!$5:$5)</f>
        <v>0</v>
      </c>
      <c r="F5" s="1392"/>
      <c r="G5" s="1399"/>
      <c r="H5" s="1247" t="s">
        <v>1907</v>
      </c>
      <c r="I5" s="55">
        <f>ROUND(E31/D31,2)</f>
        <v>6.6</v>
      </c>
      <c r="J5" s="1392"/>
      <c r="K5" s="1392"/>
      <c r="L5" s="1392"/>
      <c r="M5" s="1392"/>
      <c r="N5" s="1392"/>
      <c r="O5" s="1392"/>
      <c r="P5" s="1392"/>
    </row>
    <row r="6" spans="1:16" ht="15" thickBot="1">
      <c r="A6" s="2229"/>
      <c r="B6" s="3071" t="s">
        <v>1912</v>
      </c>
      <c r="C6" s="3071"/>
      <c r="D6" s="48">
        <f>ROUND($D$3*E6/$E$3,2)</f>
        <v>7779.45</v>
      </c>
      <c r="E6" s="49">
        <f>E3-E5</f>
        <v>51328.59</v>
      </c>
      <c r="F6" s="1392"/>
      <c r="G6" s="2230" t="s">
        <v>1913</v>
      </c>
      <c r="H6" s="1399" t="s">
        <v>1914</v>
      </c>
      <c r="I6" s="939">
        <f>ROUND(F31/D31,2)</f>
        <v>4.38</v>
      </c>
      <c r="J6" s="1392"/>
      <c r="K6" s="1392"/>
      <c r="L6" s="1392"/>
      <c r="M6" s="1392"/>
      <c r="N6" s="1392"/>
      <c r="O6" s="1392"/>
      <c r="P6" s="1392"/>
    </row>
    <row r="7" spans="1:16" ht="15">
      <c r="A7" s="3063"/>
      <c r="B7" s="3064"/>
      <c r="C7" s="3065"/>
      <c r="D7" s="2226" t="s">
        <v>1908</v>
      </c>
      <c r="E7" s="2231" t="s">
        <v>1915</v>
      </c>
      <c r="F7" s="1392"/>
      <c r="G7" s="2223" t="s">
        <v>1916</v>
      </c>
      <c r="H7" s="64"/>
      <c r="I7" s="420"/>
      <c r="J7" s="1392"/>
      <c r="K7" s="1392"/>
      <c r="L7" s="1392"/>
      <c r="M7" s="1392"/>
      <c r="N7" s="1392"/>
      <c r="O7" s="1392"/>
      <c r="P7" s="1392"/>
    </row>
    <row r="8" spans="1:16">
      <c r="A8" s="47" t="s">
        <v>1917</v>
      </c>
      <c r="B8" s="50" t="s">
        <v>1918</v>
      </c>
      <c r="C8" s="48" t="s">
        <v>1919</v>
      </c>
      <c r="D8" s="48">
        <f t="shared" ref="D8:D15" si="0">ROUND($D$3*E8/$E$3,2)</f>
        <v>5167.32</v>
      </c>
      <c r="E8" s="51">
        <f>SUMIF('数据-基础表'!BB10:BK10,"地上",'数据-基础表'!BB5:BK5)</f>
        <v>34093.799999999996</v>
      </c>
      <c r="F8" s="1392"/>
      <c r="G8" s="2232"/>
      <c r="H8" s="2232"/>
      <c r="I8" s="1392"/>
      <c r="J8" s="1392"/>
      <c r="K8" s="1392"/>
      <c r="L8" s="1392"/>
      <c r="M8" s="1392"/>
      <c r="N8" s="1392"/>
      <c r="O8" s="1392"/>
      <c r="P8" s="1392"/>
    </row>
    <row r="9" spans="1:16">
      <c r="A9" s="2233"/>
      <c r="B9" s="2234"/>
      <c r="C9" s="48" t="s">
        <v>1920</v>
      </c>
      <c r="D9" s="48">
        <f t="shared" si="0"/>
        <v>0</v>
      </c>
      <c r="E9" s="52">
        <v>0</v>
      </c>
      <c r="F9" s="1392"/>
      <c r="G9" s="2232"/>
      <c r="H9" s="2232"/>
      <c r="I9" s="1392"/>
      <c r="J9" s="1392"/>
      <c r="K9" s="1392"/>
      <c r="L9" s="1392"/>
      <c r="M9" s="1392"/>
      <c r="N9" s="1392"/>
      <c r="O9" s="1392"/>
      <c r="P9" s="1392"/>
    </row>
    <row r="10" spans="1:16">
      <c r="A10" s="2233"/>
      <c r="B10" s="2234"/>
      <c r="C10" s="48" t="s">
        <v>1929</v>
      </c>
      <c r="D10" s="48">
        <f t="shared" si="0"/>
        <v>2612.13</v>
      </c>
      <c r="E10" s="51">
        <f>SUMPRODUCT(('数据-基础表'!BB10:BK10="地下")*('数据-基础表'!BB11:BK11="商业")*('数据-基础表'!BB5:BK5))</f>
        <v>17234.79</v>
      </c>
      <c r="F10" s="1392"/>
      <c r="G10" s="2232"/>
      <c r="H10" s="2232"/>
      <c r="I10" s="1392"/>
      <c r="J10" s="1392"/>
      <c r="K10" s="1392"/>
      <c r="L10" s="1392"/>
      <c r="M10" s="1392"/>
      <c r="N10" s="1392"/>
      <c r="O10" s="1392"/>
      <c r="P10" s="1392"/>
    </row>
    <row r="11" spans="1:16">
      <c r="A11" s="2233"/>
      <c r="B11" s="2234"/>
      <c r="C11" s="48" t="s">
        <v>1921</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1922</v>
      </c>
      <c r="D12" s="48">
        <f t="shared" si="0"/>
        <v>0</v>
      </c>
      <c r="E12" s="51">
        <f>SUMPRODUCT(('数据-基础表'!BB10:BK10="地下")*('数据-基础表'!BB11:BK11="仓储")*('数据-基础表'!BB5:BK5))</f>
        <v>0</v>
      </c>
      <c r="F12" s="1392"/>
      <c r="G12" s="2232"/>
      <c r="H12" s="2232"/>
      <c r="I12" s="1392"/>
      <c r="J12" s="1392"/>
      <c r="K12" s="1392"/>
      <c r="L12" s="1392"/>
      <c r="M12" s="1392"/>
      <c r="N12" s="1392"/>
      <c r="O12" s="1392"/>
      <c r="P12" s="1392"/>
    </row>
    <row r="13" spans="1:16">
      <c r="A13" s="2233"/>
      <c r="B13" s="2234"/>
      <c r="C13" s="48" t="s">
        <v>1923</v>
      </c>
      <c r="D13" s="48">
        <f t="shared" si="0"/>
        <v>0</v>
      </c>
      <c r="E13" s="51">
        <f>SUMPRODUCT(('数据-基础表'!BB10:BK10="地下")*('数据-基础表'!BB11:BK11="车库")*('数据-基础表'!BB5:BK5))</f>
        <v>0</v>
      </c>
      <c r="F13" s="1392"/>
      <c r="G13" s="2232"/>
      <c r="H13" s="2232"/>
      <c r="I13" s="1392"/>
      <c r="J13" s="1392"/>
      <c r="K13" s="1392"/>
      <c r="L13" s="1392"/>
      <c r="M13" s="1392"/>
      <c r="N13" s="1392"/>
      <c r="O13" s="1392"/>
      <c r="P13" s="1392"/>
    </row>
    <row r="14" spans="1:16">
      <c r="A14" s="2233"/>
      <c r="B14" s="2234"/>
      <c r="C14" s="48" t="s">
        <v>1935</v>
      </c>
      <c r="D14" s="48">
        <f t="shared" si="0"/>
        <v>0</v>
      </c>
      <c r="E14" s="51">
        <f>SUMPRODUCT(('数据-基础表'!BB10:BK10="地下")*('数据-基础表'!BB11:BK11="车库—商业")*('数据-基础表'!BB5:BK5))</f>
        <v>0</v>
      </c>
      <c r="F14" s="1392"/>
      <c r="G14" s="2232"/>
      <c r="H14" s="2232"/>
      <c r="I14" s="1392"/>
      <c r="J14" s="1392"/>
      <c r="K14" s="1392"/>
      <c r="L14" s="1392"/>
      <c r="M14" s="1392"/>
      <c r="N14" s="1392"/>
      <c r="O14" s="1392"/>
      <c r="P14" s="1392"/>
    </row>
    <row r="15" spans="1:16" ht="15" thickBot="1">
      <c r="A15" s="2233"/>
      <c r="B15" s="2234"/>
      <c r="C15" s="48" t="s">
        <v>1930</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1924</v>
      </c>
      <c r="D16" s="50">
        <f>SUM(D8:D15)</f>
        <v>7779.45</v>
      </c>
      <c r="E16" s="53">
        <f>SUM(E8:E15)</f>
        <v>51328.59</v>
      </c>
      <c r="F16" s="1392"/>
      <c r="G16" s="2232"/>
      <c r="H16" s="2235" t="s">
        <v>1936</v>
      </c>
      <c r="I16" s="2236"/>
      <c r="J16" s="1392"/>
      <c r="K16" s="3060" t="s">
        <v>1936</v>
      </c>
      <c r="L16" s="3061"/>
      <c r="M16" s="3061"/>
      <c r="N16" s="3061"/>
      <c r="O16" s="3061"/>
      <c r="P16" s="3062"/>
    </row>
    <row r="17" spans="1:19" ht="15">
      <c r="A17" s="2237" t="s">
        <v>1937</v>
      </c>
      <c r="B17" s="2238" t="s">
        <v>1938</v>
      </c>
      <c r="C17" s="2239" t="s">
        <v>1939</v>
      </c>
      <c r="D17" s="2240" t="s">
        <v>1927</v>
      </c>
      <c r="E17" s="2241" t="s">
        <v>1928</v>
      </c>
      <c r="F17" s="2242"/>
      <c r="G17" s="2243"/>
      <c r="H17" s="2244" t="s">
        <v>1940</v>
      </c>
      <c r="I17" s="2245" t="s">
        <v>1925</v>
      </c>
      <c r="J17" s="1392"/>
      <c r="K17" s="3057" t="s">
        <v>1941</v>
      </c>
      <c r="L17" s="3058"/>
      <c r="M17" s="3059"/>
      <c r="N17" s="3057" t="s">
        <v>1942</v>
      </c>
      <c r="O17" s="3058"/>
      <c r="P17" s="3059"/>
      <c r="R17" s="2223" t="s">
        <v>1943</v>
      </c>
      <c r="S17" s="64"/>
    </row>
    <row r="18" spans="1:19" ht="15">
      <c r="A18" s="2233"/>
      <c r="B18" s="2246"/>
      <c r="C18" s="2247"/>
      <c r="D18" s="2248"/>
      <c r="E18" s="2249" t="s">
        <v>1944</v>
      </c>
      <c r="F18" s="2250" t="s">
        <v>1945</v>
      </c>
      <c r="G18" s="2251" t="s">
        <v>1946</v>
      </c>
      <c r="H18" s="1262" t="s">
        <v>1947</v>
      </c>
      <c r="I18" s="2252" t="s">
        <v>1948</v>
      </c>
      <c r="J18" s="1392"/>
      <c r="K18" s="1262" t="s">
        <v>1949</v>
      </c>
      <c r="L18" s="2253" t="s">
        <v>1950</v>
      </c>
      <c r="M18" s="1046" t="s">
        <v>1951</v>
      </c>
      <c r="N18" s="1262" t="s">
        <v>1949</v>
      </c>
      <c r="O18" s="2253" t="s">
        <v>1950</v>
      </c>
      <c r="P18" s="1046" t="s">
        <v>1951</v>
      </c>
      <c r="R18" s="1247" t="s">
        <v>1952</v>
      </c>
      <c r="S18" s="1247" t="s">
        <v>1953</v>
      </c>
    </row>
    <row r="19" spans="1:19">
      <c r="A19" s="2254"/>
      <c r="B19" s="50" t="s">
        <v>1926</v>
      </c>
      <c r="C19" s="2956" t="s">
        <v>3064</v>
      </c>
      <c r="D19" s="48">
        <f>ROUND($D$3*E19/$E$3,2)</f>
        <v>7779.45</v>
      </c>
      <c r="E19" s="56">
        <f t="shared" ref="E19:E26" si="1">SUM(F19:G19)</f>
        <v>51328.59</v>
      </c>
      <c r="F19" s="57">
        <f>'数据-基础表'!I13</f>
        <v>34093.799999999996</v>
      </c>
      <c r="G19" s="58">
        <f>'数据-基础表'!K13</f>
        <v>17234.79</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6"/>
      <c r="O19" s="2257"/>
      <c r="P19" s="1403">
        <f>N19+O19</f>
        <v>0</v>
      </c>
      <c r="R19" s="1247">
        <f t="shared" ref="R19:S26" si="5">D19+H19</f>
        <v>7779.45</v>
      </c>
      <c r="S19" s="1248">
        <f t="shared" si="5"/>
        <v>51328.59</v>
      </c>
    </row>
    <row r="20" spans="1:19">
      <c r="A20" s="2258"/>
      <c r="B20" s="50" t="s">
        <v>1954</v>
      </c>
      <c r="C20" s="2255"/>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6"/>
      <c r="O20" s="2257"/>
      <c r="P20" s="1403">
        <f t="shared" ref="P20:P26" si="9">N20+O20</f>
        <v>0</v>
      </c>
      <c r="R20" s="1247">
        <f t="shared" si="5"/>
        <v>0</v>
      </c>
      <c r="S20" s="1248">
        <f t="shared" si="5"/>
        <v>0</v>
      </c>
    </row>
    <row r="21" spans="1:19">
      <c r="A21" s="2258"/>
      <c r="B21" s="50" t="s">
        <v>1954</v>
      </c>
      <c r="C21" s="2255"/>
      <c r="D21" s="48">
        <f t="shared" si="6"/>
        <v>0</v>
      </c>
      <c r="E21" s="56">
        <f t="shared" si="1"/>
        <v>0</v>
      </c>
      <c r="F21" s="57"/>
      <c r="G21" s="58"/>
      <c r="H21" s="723">
        <f t="shared" si="7"/>
        <v>0</v>
      </c>
      <c r="I21" s="51">
        <f t="shared" si="2"/>
        <v>0</v>
      </c>
      <c r="J21" s="1392"/>
      <c r="K21" s="1391">
        <f t="shared" si="3"/>
        <v>0</v>
      </c>
      <c r="L21" s="1247">
        <f t="shared" si="4"/>
        <v>0</v>
      </c>
      <c r="M21" s="1403">
        <f t="shared" si="8"/>
        <v>0</v>
      </c>
      <c r="N21" s="2256"/>
      <c r="O21" s="2257"/>
      <c r="P21" s="1403">
        <f t="shared" si="9"/>
        <v>0</v>
      </c>
      <c r="R21" s="1247">
        <f t="shared" si="5"/>
        <v>0</v>
      </c>
      <c r="S21" s="1248">
        <f t="shared" si="5"/>
        <v>0</v>
      </c>
    </row>
    <row r="22" spans="1:19">
      <c r="A22" s="2258"/>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6"/>
      <c r="O22" s="2257"/>
      <c r="P22" s="1403">
        <f t="shared" si="9"/>
        <v>0</v>
      </c>
      <c r="R22" s="1247">
        <f t="shared" si="5"/>
        <v>0</v>
      </c>
      <c r="S22" s="1248">
        <f t="shared" si="5"/>
        <v>0</v>
      </c>
    </row>
    <row r="23" spans="1:19">
      <c r="A23" s="2258"/>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6"/>
      <c r="O23" s="2257"/>
      <c r="P23" s="1403">
        <f t="shared" si="9"/>
        <v>0</v>
      </c>
      <c r="R23" s="1247">
        <f t="shared" si="5"/>
        <v>0</v>
      </c>
      <c r="S23" s="1248">
        <f t="shared" si="5"/>
        <v>0</v>
      </c>
    </row>
    <row r="24" spans="1:19">
      <c r="A24" s="2258"/>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15.75" thickBot="1">
      <c r="A27" s="2258"/>
      <c r="B27" s="48"/>
      <c r="C27" s="2261" t="s">
        <v>1955</v>
      </c>
      <c r="D27" s="1393">
        <f>SUM(D19:D26)</f>
        <v>7779.45</v>
      </c>
      <c r="E27" s="1394">
        <f>IF(SUM(E19:E26)='数据-基础表'!BA5,SUM(E19:E26),IF(F27="地上面积有误","面积有误","地下面积有误"))</f>
        <v>51328.59</v>
      </c>
      <c r="F27" s="1393">
        <f>IF(SUM(F19:F26)=E8,SUM(F19:F26),"地上面积有误")</f>
        <v>34093.799999999996</v>
      </c>
      <c r="G27" s="1395">
        <f>SUM(G19:G26)</f>
        <v>17234.79</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7779.45</v>
      </c>
      <c r="S27" s="1247">
        <f>IF(SUM(S19:S26)=$E$3,SUM(S19:S26),SUM(S19:S26)&amp;"误差"&amp;ROUND(SUM(S19:S26)-E3,2))</f>
        <v>51328.59</v>
      </c>
    </row>
    <row r="28" spans="1:19">
      <c r="A28" s="2258"/>
      <c r="B28" s="50" t="s">
        <v>1956</v>
      </c>
      <c r="C28" s="1259" t="s">
        <v>1957</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8"/>
      <c r="B29" s="50" t="s">
        <v>1956</v>
      </c>
      <c r="C29" s="2262"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8"/>
      <c r="B30" s="50"/>
      <c r="C30" s="2263" t="s">
        <v>1955</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4"/>
      <c r="B31" s="2265"/>
      <c r="C31" s="1007" t="s">
        <v>1959</v>
      </c>
      <c r="D31" s="729">
        <f>D27+D30</f>
        <v>7779.45</v>
      </c>
      <c r="E31" s="729">
        <f>E27+E30</f>
        <v>51328.59</v>
      </c>
      <c r="F31" s="730">
        <f>F27+F30</f>
        <v>34093.799999999996</v>
      </c>
      <c r="G31" s="731">
        <f>G27+G30</f>
        <v>17234.79</v>
      </c>
      <c r="H31" s="1392"/>
      <c r="I31" s="1392"/>
      <c r="J31" s="1392"/>
      <c r="K31" s="1392"/>
      <c r="L31" s="1392"/>
      <c r="M31" s="1392"/>
      <c r="N31" s="1392"/>
      <c r="O31" s="1392"/>
      <c r="P31" s="1392"/>
    </row>
    <row r="32" spans="1:19">
      <c r="A32" s="2228"/>
      <c r="B32" s="2228" t="s">
        <v>1960</v>
      </c>
      <c r="C32" s="2228"/>
      <c r="D32" s="2228"/>
      <c r="E32" s="1274">
        <f>SUMIF(C19:C26,"*住宅*",E19:E26)</f>
        <v>0</v>
      </c>
      <c r="F32" s="2228"/>
      <c r="G32" s="2228"/>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1961</v>
      </c>
      <c r="B1" s="732"/>
      <c r="C1" s="1581"/>
      <c r="D1" s="2268"/>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9" customFormat="1" ht="15.75" thickBot="1">
      <c r="A2" s="2271" t="s">
        <v>1962</v>
      </c>
      <c r="B2" s="1266">
        <f>项目基本情况!D3</f>
        <v>43902</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1963</v>
      </c>
      <c r="B4" s="2276"/>
      <c r="C4" s="2277"/>
      <c r="D4" s="2278"/>
      <c r="E4" s="2277" t="s">
        <v>1964</v>
      </c>
      <c r="F4" s="2277"/>
      <c r="G4" s="2277"/>
      <c r="H4" s="2277"/>
      <c r="I4" s="2277"/>
      <c r="J4" s="2279"/>
      <c r="K4" s="2280"/>
      <c r="L4" s="2281"/>
      <c r="M4" s="2277"/>
      <c r="N4" s="2277" t="s">
        <v>1965</v>
      </c>
      <c r="O4" s="2277"/>
      <c r="P4" s="2277"/>
      <c r="Q4" s="2277"/>
      <c r="R4" s="2277"/>
      <c r="S4" s="2279"/>
      <c r="T4" s="2282" t="str">
        <f>'数据-汇总表'!I17</f>
        <v>按面积比例</v>
      </c>
      <c r="U4" s="2276" t="s">
        <v>1966</v>
      </c>
      <c r="V4" s="2277"/>
      <c r="W4" s="2277"/>
      <c r="X4" s="2277"/>
      <c r="Y4" s="2279"/>
      <c r="Z4" s="2239" t="s">
        <v>1967</v>
      </c>
      <c r="AA4" s="2239"/>
      <c r="AB4" s="2239"/>
      <c r="AC4" s="2239"/>
      <c r="AD4" s="2239"/>
      <c r="AE4" s="2237" t="s">
        <v>1968</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1969</v>
      </c>
      <c r="B5" s="2285" t="s">
        <v>1970</v>
      </c>
      <c r="C5" s="2286" t="s">
        <v>1971</v>
      </c>
      <c r="D5" s="2287" t="s">
        <v>1972</v>
      </c>
      <c r="E5" s="1268" t="s">
        <v>1973</v>
      </c>
      <c r="F5" s="2288" t="s">
        <v>1974</v>
      </c>
      <c r="G5" s="1268" t="s">
        <v>1975</v>
      </c>
      <c r="H5" s="1268" t="s">
        <v>1976</v>
      </c>
      <c r="I5" s="1268" t="s">
        <v>1977</v>
      </c>
      <c r="J5" s="2289" t="s">
        <v>1978</v>
      </c>
      <c r="K5" s="2290" t="s">
        <v>1979</v>
      </c>
      <c r="L5" s="2291" t="s">
        <v>1980</v>
      </c>
      <c r="M5" s="2292" t="s">
        <v>1981</v>
      </c>
      <c r="N5" s="2293" t="s">
        <v>3065</v>
      </c>
      <c r="O5" s="2291" t="s">
        <v>1982</v>
      </c>
      <c r="P5" s="2294" t="s">
        <v>1983</v>
      </c>
      <c r="Q5" s="69" t="s">
        <v>1984</v>
      </c>
      <c r="R5" s="2295" t="s">
        <v>1985</v>
      </c>
      <c r="S5" s="2296" t="s">
        <v>1986</v>
      </c>
      <c r="T5" s="2297" t="s">
        <v>1987</v>
      </c>
      <c r="U5" s="1267" t="s">
        <v>1988</v>
      </c>
      <c r="V5" s="1268" t="s">
        <v>1989</v>
      </c>
      <c r="W5" s="1268" t="s">
        <v>1990</v>
      </c>
      <c r="X5" s="71"/>
      <c r="Y5" s="70" t="s">
        <v>1991</v>
      </c>
      <c r="Z5" s="2298" t="s">
        <v>1988</v>
      </c>
      <c r="AA5" s="1268" t="s">
        <v>1989</v>
      </c>
      <c r="AB5" s="1268" t="s">
        <v>1990</v>
      </c>
      <c r="AC5" s="71"/>
      <c r="AD5" s="71" t="s">
        <v>1991</v>
      </c>
      <c r="AE5" s="1267" t="s">
        <v>1992</v>
      </c>
      <c r="AF5" s="1268" t="s">
        <v>1993</v>
      </c>
      <c r="AG5" s="70" t="s">
        <v>1994</v>
      </c>
      <c r="AH5" s="1267" t="s">
        <v>1995</v>
      </c>
      <c r="AI5" s="2298" t="s">
        <v>1996</v>
      </c>
      <c r="AJ5" s="2298" t="s">
        <v>1997</v>
      </c>
      <c r="AK5" s="1268" t="s">
        <v>1998</v>
      </c>
      <c r="AL5" s="1268" t="s">
        <v>1999</v>
      </c>
      <c r="AM5" s="70" t="s">
        <v>2000</v>
      </c>
      <c r="AN5" s="2299" t="s">
        <v>2001</v>
      </c>
      <c r="AO5" s="2069" t="s">
        <v>2002</v>
      </c>
      <c r="AP5" s="1249" t="s">
        <v>2003</v>
      </c>
      <c r="AQ5" s="2300" t="s">
        <v>2004</v>
      </c>
      <c r="AR5" s="2300" t="s">
        <v>2005</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t="str">
        <f>'数据-汇总表'!C19</f>
        <v>酒店</v>
      </c>
      <c r="B6" s="2302" t="str">
        <f>IF(A6=0,"","经营性")</f>
        <v>经营性</v>
      </c>
      <c r="C6" s="2303" t="s">
        <v>1372</v>
      </c>
      <c r="D6" s="1051">
        <f>SUMIF(项目基本情况!D$12:I$12,C6,项目基本情况!D$14:I$14)</f>
        <v>40</v>
      </c>
      <c r="E6" s="1048">
        <f>IF(B6="","",SUMIF(项目基本情况!D$12:I$12,C6,项目基本情况!D$13:I$13))</f>
        <v>54854</v>
      </c>
      <c r="F6" s="72">
        <f>SUMIF(项目基本情况!D$12:I$12,C6,项目基本情况!D$15:I$15)</f>
        <v>30</v>
      </c>
      <c r="G6" s="73">
        <f>IF(ISERROR(ROUND(POWER(1+H6,D6-F6)*(POWER(1+H6,F6)-1)/(POWER(1+H6,D6)-1),3)),0,ROUND(POWER(1+H6,D6-F6)*(POWER(1+H6,F6)-1)/(POWER(1+H6,D6)-1),3))</f>
        <v>0.90600000000000003</v>
      </c>
      <c r="H6" s="802">
        <v>5.5E-2</v>
      </c>
      <c r="I6" s="802">
        <v>5.5E-2</v>
      </c>
      <c r="J6" s="74">
        <v>0.08</v>
      </c>
      <c r="K6" s="1251">
        <f>SUMIF('数据-汇总表'!C$19:C$33,A6,'数据-汇总表'!E$19:E$33)</f>
        <v>51328.59</v>
      </c>
      <c r="L6" s="803">
        <v>6800</v>
      </c>
      <c r="M6" s="75">
        <f t="shared" ref="M6:M14" si="0">ROUND(K6*L6/10000,0)</f>
        <v>34903</v>
      </c>
      <c r="N6" s="801">
        <f>ROUND(1-(2020-2012)/60,2)</f>
        <v>0.87</v>
      </c>
      <c r="O6" s="75" t="str">
        <f>IF($N$5="成新度","——",ROUND(M6*N6,0))</f>
        <v>——</v>
      </c>
      <c r="P6" s="76" t="str">
        <f>IF($N$5="成新度","——",M6-O6)</f>
        <v>——</v>
      </c>
      <c r="Q6" s="2974">
        <v>0.15</v>
      </c>
      <c r="R6" s="77">
        <f ca="1">SUMIF('数据-汇总表'!C$19:C$33,A6,'数据-汇总表'!R$19:R$27)</f>
        <v>7779.45</v>
      </c>
      <c r="S6" s="54">
        <f>IF('数据-汇总表'!$I$17="按面积比例",SUMIF('数据-汇总表'!C$19:C$33,A6,'数据-汇总表'!K$19:K$33),SUMIF('数据-汇总表'!C$19:C$33,A6,'数据-汇总表'!N$19:N$33))</f>
        <v>0</v>
      </c>
      <c r="T6" s="1443">
        <f>ROUND($L$14*S6/10000,0)</f>
        <v>0</v>
      </c>
      <c r="U6" s="78">
        <f>酒店收入计算!E26*10000</f>
        <v>82275000</v>
      </c>
      <c r="V6" s="79">
        <v>1.4999999999999999E-2</v>
      </c>
      <c r="W6" s="79">
        <v>0</v>
      </c>
      <c r="X6" s="1261"/>
      <c r="Y6" s="80">
        <f>N6</f>
        <v>0.87</v>
      </c>
      <c r="Z6" s="81"/>
      <c r="AA6" s="74"/>
      <c r="AB6" s="74"/>
      <c r="AC6" s="1261"/>
      <c r="AD6" s="82"/>
      <c r="AE6" s="1262">
        <f ca="1">IF(AN6="",0,SUMIF(INDIRECT("'"&amp;AN6&amp;"'"&amp;"!E:E"),$AE$5,INDIRECT("'"&amp;AN6&amp;"'"&amp;"!F:F")))</f>
        <v>30</v>
      </c>
      <c r="AF6" s="1803"/>
      <c r="AG6" s="147">
        <f>IF(AF6="",0,AE6-AF6)</f>
        <v>0</v>
      </c>
      <c r="AH6" s="83">
        <v>1</v>
      </c>
      <c r="AI6" s="85">
        <v>1</v>
      </c>
      <c r="AJ6" s="86"/>
      <c r="AK6" s="2972">
        <v>0.01</v>
      </c>
      <c r="AL6" s="88">
        <v>1.5E-3</v>
      </c>
      <c r="AM6" s="2973">
        <v>0.02</v>
      </c>
      <c r="AN6" s="2304" t="s">
        <v>3066</v>
      </c>
      <c r="AO6" s="55">
        <f ca="1">SUMIF(INDIRECT("'"&amp;AN6&amp;"'"&amp;"!A:A"),"总价",INDIRECT("'"&amp;AN6&amp;"'"&amp;"!B:B"))</f>
        <v>115451</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f>'数据-汇总表'!C20</f>
        <v>0</v>
      </c>
      <c r="B7" s="2302" t="str">
        <f t="shared" ref="B7:B13" si="1">IF(A7=0,"","经营性")</f>
        <v/>
      </c>
      <c r="C7" s="2303"/>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2006</v>
      </c>
      <c r="B14" s="2302" t="s">
        <v>2007</v>
      </c>
      <c r="C14" s="2307" t="s">
        <v>2006</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2008</v>
      </c>
      <c r="B15" s="2302" t="s">
        <v>2007</v>
      </c>
      <c r="C15" s="2307"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2010</v>
      </c>
      <c r="B16" s="97"/>
      <c r="C16" s="1005"/>
      <c r="D16" s="2309"/>
      <c r="E16" s="97"/>
      <c r="F16" s="97"/>
      <c r="G16" s="98">
        <f>ROUND(SUMPRODUCT(G6:G13,K6:K13)/SUMPRODUCT((G6:G13&gt;0)*(K6:K13)),3)</f>
        <v>0.90600000000000003</v>
      </c>
      <c r="H16" s="99">
        <f>ROUND(SUMPRODUCT(H6:H13,K6:K13)/SUMPRODUCT((H6:H13&gt;0)*(K6:K13)),3)</f>
        <v>5.5E-2</v>
      </c>
      <c r="I16" s="100"/>
      <c r="J16" s="100"/>
      <c r="K16" s="101">
        <f>SUM(K6:K15)</f>
        <v>51328.59</v>
      </c>
      <c r="L16" s="102">
        <f>ROUND(M16*10000/SUM(K6:K14),0)</f>
        <v>6800</v>
      </c>
      <c r="M16" s="102">
        <f>SUM(M6:M14)</f>
        <v>34903</v>
      </c>
      <c r="N16" s="103">
        <f>ROUND(SUMPRODUCT(M6:M14,N6:N14)/M16,3)</f>
        <v>0.87</v>
      </c>
      <c r="O16" s="102">
        <f>SUM(O6:O14)</f>
        <v>0</v>
      </c>
      <c r="P16" s="102">
        <f>SUM(P6:P14)</f>
        <v>0</v>
      </c>
      <c r="Q16" s="104">
        <f>ROUND(SUMPRODUCT(Q6:Q13,K6:K13)/SUMPRODUCT((Q6:Q13&gt;0)*(K6:K13)),2)</f>
        <v>0.15</v>
      </c>
      <c r="R16" s="1255">
        <f ca="1">SUM(R6:R13)</f>
        <v>7779.45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1"/>
      <c r="D17" s="2268"/>
      <c r="E17" s="2268"/>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2011</v>
      </c>
      <c r="B18" s="2275"/>
      <c r="C18" s="2272"/>
      <c r="D18" s="2273"/>
      <c r="E18" s="2272"/>
      <c r="F18" s="2272"/>
      <c r="G18" s="2272"/>
      <c r="H18" s="2272"/>
      <c r="I18" s="2272"/>
      <c r="J18" s="2272"/>
      <c r="K18" s="168"/>
      <c r="L18" s="2957" t="s">
        <v>3093</v>
      </c>
      <c r="M18" s="2960" t="s">
        <v>3094</v>
      </c>
      <c r="N18" s="2960" t="s">
        <v>3095</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1" t="s">
        <v>2012</v>
      </c>
      <c r="B19" s="112">
        <v>0</v>
      </c>
      <c r="C19" s="2272" t="s">
        <v>2013</v>
      </c>
      <c r="D19" s="2273"/>
      <c r="E19" s="2272"/>
      <c r="F19" s="2272"/>
      <c r="G19" s="2272"/>
      <c r="H19" s="2272"/>
      <c r="I19" s="2272"/>
      <c r="J19" s="2272"/>
      <c r="K19" s="2957" t="s">
        <v>3090</v>
      </c>
      <c r="L19" s="168">
        <f>'数据-汇总表'!F19</f>
        <v>34093.799999999996</v>
      </c>
      <c r="M19" s="1581">
        <v>8000</v>
      </c>
      <c r="N19" s="1581">
        <f>ROUND(L19/$L$22,2)</f>
        <v>0.66</v>
      </c>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2" t="s">
        <v>2014</v>
      </c>
      <c r="B20" s="113">
        <v>2</v>
      </c>
      <c r="C20" s="2272" t="s">
        <v>2015</v>
      </c>
      <c r="D20" s="2273"/>
      <c r="E20" s="2272"/>
      <c r="F20" s="2272"/>
      <c r="G20" s="2272"/>
      <c r="H20" s="2272"/>
      <c r="I20" s="2272"/>
      <c r="J20" s="2272"/>
      <c r="K20" s="2957" t="s">
        <v>3091</v>
      </c>
      <c r="L20" s="2959">
        <f>'数据-汇总表'!G19/2</f>
        <v>8617.3950000000004</v>
      </c>
      <c r="M20" s="1581">
        <v>6000</v>
      </c>
      <c r="N20" s="1581">
        <f t="shared" ref="N20:N21" si="12">ROUND(L20/$L$22,2)</f>
        <v>0.17</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3" t="s">
        <v>2016</v>
      </c>
      <c r="B21" s="113">
        <v>2</v>
      </c>
      <c r="C21" s="2272"/>
      <c r="D21" s="2273"/>
      <c r="E21" s="2272"/>
      <c r="F21" s="2272"/>
      <c r="G21" s="2272"/>
      <c r="H21" s="2272"/>
      <c r="I21" s="2272"/>
      <c r="J21" s="2272"/>
      <c r="K21" s="2957" t="s">
        <v>3092</v>
      </c>
      <c r="L21" s="2959">
        <f>'数据-汇总表'!G19-'数据-取费表'!L20</f>
        <v>8617.3950000000004</v>
      </c>
      <c r="M21" s="1581">
        <v>3000</v>
      </c>
      <c r="N21" s="1581">
        <f t="shared" si="12"/>
        <v>0.17</v>
      </c>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2" t="s">
        <v>2017</v>
      </c>
      <c r="B22" s="114">
        <f>B19+B20</f>
        <v>2</v>
      </c>
      <c r="C22" s="2272"/>
      <c r="D22" s="2273"/>
      <c r="E22" s="2272"/>
      <c r="F22" s="2272"/>
      <c r="G22" s="2272"/>
      <c r="H22" s="2272"/>
      <c r="I22" s="2272"/>
      <c r="J22" s="2272"/>
      <c r="K22" s="168"/>
      <c r="L22" s="2958">
        <f>L19+L20+L21</f>
        <v>51328.59</v>
      </c>
      <c r="M22" s="1581">
        <f>M19*N19+M20*N20+M21*N21</f>
        <v>6810</v>
      </c>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3" t="s">
        <v>2018</v>
      </c>
      <c r="B23" s="114">
        <f>B19+B21</f>
        <v>2</v>
      </c>
      <c r="C23" s="2272"/>
      <c r="D23" s="2273"/>
      <c r="E23" s="2272"/>
      <c r="F23" s="2272"/>
      <c r="G23" s="2272"/>
      <c r="H23" s="2272"/>
      <c r="I23" s="2272"/>
      <c r="J23" s="2272"/>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4" t="s">
        <v>2019</v>
      </c>
      <c r="B24" s="115">
        <f>B20-B21</f>
        <v>0</v>
      </c>
      <c r="C24" s="2272"/>
      <c r="D24" s="2273"/>
      <c r="E24" s="2272"/>
      <c r="F24" s="2272"/>
      <c r="G24" s="2272"/>
      <c r="H24" s="2272"/>
      <c r="I24" s="2272"/>
      <c r="J24" s="2272"/>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7"/>
      <c r="B25" s="2275"/>
      <c r="C25" s="2272"/>
      <c r="D25" s="2273"/>
      <c r="E25" s="2272"/>
      <c r="F25" s="2272"/>
      <c r="G25" s="2272"/>
      <c r="H25" s="2272"/>
      <c r="I25" s="2272"/>
      <c r="J25" s="2272"/>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1" t="s">
        <v>2020</v>
      </c>
      <c r="B26" s="2315" t="s">
        <v>2021</v>
      </c>
      <c r="C26" s="2316" t="s">
        <v>2022</v>
      </c>
      <c r="D26" s="2273"/>
      <c r="E26" s="2272"/>
      <c r="F26" s="2272"/>
      <c r="G26" s="2272"/>
      <c r="H26" s="2272"/>
      <c r="I26" s="2272"/>
      <c r="J26" s="2272"/>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9" customFormat="1" ht="27.75">
      <c r="A27" s="2317" t="s">
        <v>2023</v>
      </c>
      <c r="B27" s="116"/>
      <c r="C27" s="1764" t="s">
        <v>2024</v>
      </c>
      <c r="D27" s="2318"/>
      <c r="E27" s="1427"/>
      <c r="F27" s="1427"/>
      <c r="G27" s="2272"/>
      <c r="H27" s="2272"/>
      <c r="I27" s="2272"/>
      <c r="J27" s="2272"/>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2025</v>
      </c>
      <c r="B28" s="119">
        <v>200</v>
      </c>
      <c r="C28" s="2321"/>
      <c r="D28" s="2318"/>
      <c r="E28" s="1427"/>
      <c r="F28" s="1427"/>
      <c r="G28" s="2272"/>
      <c r="H28" s="2272"/>
      <c r="I28" s="2272"/>
      <c r="J28" s="2272"/>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2026</v>
      </c>
      <c r="B29" s="121">
        <f ca="1">成本法!C10</f>
        <v>1027</v>
      </c>
      <c r="C29" s="1764" t="s">
        <v>2027</v>
      </c>
      <c r="D29" s="2318"/>
      <c r="E29" s="1427"/>
      <c r="F29" s="1427"/>
      <c r="G29" s="2272"/>
      <c r="H29" s="2272"/>
      <c r="I29" s="2272"/>
      <c r="J29" s="2272"/>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2028</v>
      </c>
      <c r="B30" s="724">
        <v>200</v>
      </c>
      <c r="C30" s="2321"/>
      <c r="D30" s="2318"/>
      <c r="E30" s="1427"/>
      <c r="F30" s="1427"/>
      <c r="G30" s="2272"/>
      <c r="H30" s="2272"/>
      <c r="I30" s="2272"/>
      <c r="J30" s="2272"/>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2029</v>
      </c>
      <c r="B31" s="120">
        <f>B30-B32</f>
        <v>200</v>
      </c>
      <c r="C31" s="1764"/>
      <c r="D31" s="2318"/>
      <c r="E31" s="1427"/>
      <c r="F31" s="1427"/>
      <c r="G31" s="2272"/>
      <c r="H31" s="2272"/>
      <c r="I31" s="2272"/>
      <c r="J31" s="2272"/>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2030</v>
      </c>
      <c r="B32" s="725">
        <v>0</v>
      </c>
      <c r="C32" s="2321"/>
      <c r="D32" s="2273"/>
      <c r="E32" s="2272"/>
      <c r="F32" s="2272"/>
      <c r="G32" s="2272"/>
      <c r="H32" s="2272"/>
      <c r="I32" s="2272"/>
      <c r="J32" s="2272"/>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2031</v>
      </c>
      <c r="B33" s="726">
        <v>0.03</v>
      </c>
      <c r="C33" s="1763" t="s">
        <v>2032</v>
      </c>
      <c r="D33" s="2273"/>
      <c r="E33" s="2272"/>
      <c r="F33" s="2272"/>
      <c r="G33" s="2272"/>
      <c r="H33" s="2272"/>
      <c r="I33" s="2272"/>
      <c r="J33" s="2272"/>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2033</v>
      </c>
      <c r="B34" s="122"/>
      <c r="C34" s="1763" t="s">
        <v>2034</v>
      </c>
      <c r="D34" s="2273" t="s">
        <v>2035</v>
      </c>
      <c r="E34" s="732"/>
      <c r="F34" s="2272"/>
      <c r="G34" s="2272"/>
      <c r="H34" s="2272"/>
      <c r="I34" s="2272"/>
      <c r="J34" s="2272"/>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2036</v>
      </c>
      <c r="B35" s="119">
        <v>200</v>
      </c>
      <c r="C35" s="1763" t="s">
        <v>2037</v>
      </c>
      <c r="D35" s="2318"/>
      <c r="E35" s="1427"/>
      <c r="F35" s="1427"/>
      <c r="G35" s="2272"/>
      <c r="H35" s="2272"/>
      <c r="I35" s="2272"/>
      <c r="J35" s="2272"/>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2038</v>
      </c>
      <c r="B36" s="123">
        <v>1.4999999999999999E-2</v>
      </c>
      <c r="C36" s="1763" t="s">
        <v>2039</v>
      </c>
      <c r="D36" s="2273"/>
      <c r="E36" s="2272"/>
      <c r="F36" s="2272"/>
      <c r="G36" s="2272"/>
      <c r="H36" s="2272"/>
      <c r="I36" s="2272"/>
      <c r="J36" s="2272"/>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3" t="s">
        <v>2040</v>
      </c>
      <c r="B37" s="124">
        <v>0.02</v>
      </c>
      <c r="C37" s="1763" t="s">
        <v>2041</v>
      </c>
      <c r="D37" s="2273"/>
      <c r="E37" s="2272"/>
      <c r="F37" s="2272"/>
      <c r="G37" s="2272"/>
      <c r="H37" s="2272"/>
      <c r="I37" s="2272"/>
      <c r="J37" s="2272"/>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0" t="s">
        <v>2042</v>
      </c>
      <c r="B38" s="122">
        <v>0.02</v>
      </c>
      <c r="C38" s="1763" t="s">
        <v>2041</v>
      </c>
      <c r="D38" s="2273"/>
      <c r="E38" s="2272"/>
      <c r="F38" s="2272"/>
      <c r="G38" s="2272"/>
      <c r="H38" s="2272"/>
      <c r="I38" s="2272"/>
      <c r="J38" s="2272"/>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4" t="s">
        <v>2043</v>
      </c>
      <c r="B39" s="362">
        <f ca="1">存贷款利率!I1</f>
        <v>1.4999999999999999E-2</v>
      </c>
      <c r="C39" s="1763"/>
      <c r="D39" s="2273"/>
      <c r="E39" s="2272"/>
      <c r="F39" s="2272"/>
      <c r="G39" s="2272"/>
      <c r="H39" s="2272"/>
      <c r="I39" s="2272"/>
      <c r="J39" s="2272"/>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4" t="s">
        <v>2044</v>
      </c>
      <c r="B40" s="1300">
        <f ca="1">存贷款利率!G1</f>
        <v>4.7500000000000001E-2</v>
      </c>
      <c r="C40" s="1763" t="s">
        <v>2045</v>
      </c>
      <c r="D40" s="1581"/>
      <c r="E40" s="2273"/>
      <c r="F40" s="2272"/>
      <c r="G40" s="2272"/>
      <c r="H40" s="2272"/>
      <c r="I40" s="2272"/>
      <c r="J40" s="2272"/>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7" t="s">
        <v>2046</v>
      </c>
      <c r="B41" s="125">
        <f>B42+B43</f>
        <v>5.6000000000000001E-2</v>
      </c>
      <c r="C41" s="1764"/>
      <c r="D41" s="1581"/>
      <c r="E41" s="2273"/>
      <c r="F41" s="2272"/>
      <c r="G41" s="2272"/>
      <c r="H41" s="2272"/>
      <c r="I41" s="2272"/>
      <c r="J41" s="2272"/>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5" t="s">
        <v>2047</v>
      </c>
      <c r="B42" s="126">
        <v>0.05</v>
      </c>
      <c r="C42" s="2326">
        <f>IF(B2&lt;DATE(2016,5,1),0,B42)</f>
        <v>0.05</v>
      </c>
      <c r="D42" s="2273"/>
      <c r="E42" s="2272"/>
      <c r="F42" s="2272"/>
      <c r="G42" s="2272"/>
      <c r="H42" s="2272"/>
      <c r="I42" s="2272"/>
      <c r="J42" s="2272"/>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5" t="s">
        <v>2048</v>
      </c>
      <c r="B43" s="127">
        <f>B42*(B44+B45+B46)+B47</f>
        <v>6.000000000000001E-3</v>
      </c>
      <c r="C43" s="1764"/>
      <c r="D43" s="2273"/>
      <c r="E43" s="2272"/>
      <c r="F43" s="2272"/>
      <c r="G43" s="2272"/>
      <c r="H43" s="2272"/>
      <c r="I43" s="2272"/>
      <c r="J43" s="2272"/>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7" t="s">
        <v>2049</v>
      </c>
      <c r="B44" s="128">
        <v>7.0000000000000007E-2</v>
      </c>
      <c r="C44" s="1763" t="s">
        <v>2050</v>
      </c>
      <c r="D44" s="2273"/>
      <c r="E44" s="2272"/>
      <c r="F44" s="2272"/>
      <c r="G44" s="2272"/>
      <c r="H44" s="2272"/>
      <c r="I44" s="2272"/>
      <c r="J44" s="2272"/>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7" t="s">
        <v>2051</v>
      </c>
      <c r="B45" s="126">
        <v>0.03</v>
      </c>
      <c r="C45" s="1764" t="s">
        <v>2052</v>
      </c>
      <c r="D45" s="2273"/>
      <c r="E45" s="2272"/>
      <c r="F45" s="2272"/>
      <c r="G45" s="2272"/>
      <c r="H45" s="2272"/>
      <c r="I45" s="2272"/>
      <c r="J45" s="2272"/>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7" t="s">
        <v>2053</v>
      </c>
      <c r="B46" s="126">
        <v>0.02</v>
      </c>
      <c r="C46" s="1764" t="s">
        <v>2054</v>
      </c>
      <c r="D46" s="2273"/>
      <c r="E46" s="2272"/>
      <c r="F46" s="2272"/>
      <c r="G46" s="2272"/>
      <c r="H46" s="2272"/>
      <c r="I46" s="2272"/>
      <c r="J46" s="2272"/>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8" t="s">
        <v>2055</v>
      </c>
      <c r="B47" s="129"/>
      <c r="C47" s="1764" t="s">
        <v>2056</v>
      </c>
      <c r="D47" s="2273"/>
      <c r="E47" s="2272"/>
      <c r="F47" s="2272"/>
      <c r="G47" s="2272"/>
      <c r="H47" s="2272"/>
      <c r="I47" s="2272"/>
      <c r="J47" s="2272"/>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9" t="s">
        <v>2057</v>
      </c>
      <c r="B48" s="130">
        <v>0.03</v>
      </c>
      <c r="C48" s="1770" t="s">
        <v>2058</v>
      </c>
      <c r="D48" s="2273"/>
      <c r="E48" s="2272"/>
      <c r="F48" s="2272"/>
      <c r="G48" s="2272"/>
      <c r="H48" s="2272"/>
      <c r="I48" s="2272"/>
      <c r="J48" s="2272"/>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4" t="s">
        <v>2059</v>
      </c>
      <c r="B49" s="126">
        <v>5.0000000000000001E-4</v>
      </c>
      <c r="C49" s="1770" t="s">
        <v>2060</v>
      </c>
      <c r="D49" s="2273"/>
      <c r="E49" s="2272"/>
      <c r="F49" s="2272"/>
      <c r="G49" s="2272"/>
      <c r="H49" s="2272"/>
      <c r="I49" s="2272"/>
      <c r="J49" s="2272"/>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0" t="s">
        <v>2061</v>
      </c>
      <c r="B50" s="131">
        <v>1.2E-2</v>
      </c>
      <c r="C50" s="1427"/>
      <c r="D50" s="2273"/>
      <c r="E50" s="2272"/>
      <c r="F50" s="2272"/>
      <c r="G50" s="2272"/>
      <c r="H50" s="2272"/>
      <c r="I50" s="2272"/>
      <c r="J50" s="2272"/>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2" t="s">
        <v>2062</v>
      </c>
      <c r="B51" s="132">
        <v>0.12</v>
      </c>
      <c r="C51" s="1427"/>
      <c r="D51" s="2273"/>
      <c r="E51" s="2272"/>
      <c r="F51" s="2272"/>
      <c r="G51" s="2272"/>
      <c r="H51" s="2272"/>
      <c r="I51" s="2272"/>
      <c r="J51" s="2272"/>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0" t="s">
        <v>2063</v>
      </c>
      <c r="B52" s="133">
        <f>SUMIF(A54:A63,B53,B54:B63)</f>
        <v>24</v>
      </c>
      <c r="C52" s="1427"/>
      <c r="D52" s="2273"/>
      <c r="E52" s="2272"/>
      <c r="F52" s="2272"/>
      <c r="G52" s="2272"/>
      <c r="H52" s="2272"/>
      <c r="I52" s="2272"/>
      <c r="J52" s="2272"/>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0" t="s">
        <v>2064</v>
      </c>
      <c r="B53" s="2331" t="s">
        <v>269</v>
      </c>
      <c r="C53" s="1427" t="s">
        <v>2065</v>
      </c>
      <c r="D53" s="2332" t="s">
        <v>2066</v>
      </c>
      <c r="E53" s="2272"/>
      <c r="F53" s="2272"/>
      <c r="G53" s="2272"/>
      <c r="H53" s="2272"/>
      <c r="I53" s="2272"/>
      <c r="J53" s="2272"/>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3" t="s">
        <v>2067</v>
      </c>
      <c r="B54" s="84"/>
      <c r="C54" s="1427">
        <v>30</v>
      </c>
      <c r="D54" s="2273"/>
      <c r="E54" s="2272"/>
      <c r="F54" s="2272"/>
      <c r="G54" s="2272"/>
      <c r="H54" s="2272"/>
      <c r="I54" s="2272"/>
      <c r="J54" s="2272"/>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3" t="s">
        <v>2068</v>
      </c>
      <c r="B55" s="84">
        <v>24</v>
      </c>
      <c r="C55" s="1427">
        <v>24</v>
      </c>
      <c r="D55" s="2273"/>
      <c r="E55" s="2272"/>
      <c r="F55" s="2272"/>
      <c r="G55" s="2272"/>
      <c r="H55" s="2272"/>
      <c r="I55" s="2334"/>
      <c r="J55" s="2272"/>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3" t="s">
        <v>2069</v>
      </c>
      <c r="B56" s="84"/>
      <c r="C56" s="1427">
        <v>18</v>
      </c>
      <c r="D56" s="2273"/>
      <c r="E56" s="2272"/>
      <c r="F56" s="2272"/>
      <c r="G56" s="2272"/>
      <c r="H56" s="2272"/>
      <c r="I56" s="2272"/>
      <c r="J56" s="2272"/>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3" t="s">
        <v>2070</v>
      </c>
      <c r="B57" s="84"/>
      <c r="C57" s="1427">
        <v>12</v>
      </c>
      <c r="D57" s="2273"/>
      <c r="E57" s="2272"/>
      <c r="F57" s="2272"/>
      <c r="G57" s="2272"/>
      <c r="H57" s="2272"/>
      <c r="I57" s="2272"/>
      <c r="J57" s="2272"/>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3" t="s">
        <v>2071</v>
      </c>
      <c r="B58" s="84"/>
      <c r="C58" s="1427">
        <v>3</v>
      </c>
      <c r="D58" s="2273"/>
      <c r="E58" s="2272"/>
      <c r="F58" s="2272"/>
      <c r="G58" s="2272"/>
      <c r="H58" s="2272"/>
      <c r="I58" s="2272"/>
      <c r="J58" s="2272"/>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3" t="s">
        <v>2072</v>
      </c>
      <c r="B59" s="84"/>
      <c r="C59" s="1427">
        <v>1.5</v>
      </c>
      <c r="D59" s="2273"/>
      <c r="E59" s="2272"/>
      <c r="F59" s="2272"/>
      <c r="G59" s="2272"/>
      <c r="H59" s="2272"/>
      <c r="I59" s="2272"/>
      <c r="J59" s="2272"/>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3" t="s">
        <v>2073</v>
      </c>
      <c r="B60" s="84"/>
      <c r="C60" s="2272"/>
      <c r="D60" s="2273"/>
      <c r="E60" s="2272"/>
      <c r="F60" s="2272"/>
      <c r="G60" s="2272"/>
      <c r="H60" s="2272"/>
      <c r="I60" s="2272"/>
      <c r="J60" s="2272"/>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3" t="s">
        <v>2074</v>
      </c>
      <c r="B61" s="84"/>
      <c r="C61" s="2272"/>
      <c r="D61" s="2273"/>
      <c r="E61" s="2272"/>
      <c r="F61" s="2272"/>
      <c r="G61" s="2272"/>
      <c r="H61" s="2272"/>
      <c r="I61" s="2272"/>
      <c r="J61" s="2272"/>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3" t="s">
        <v>2075</v>
      </c>
      <c r="B62" s="84"/>
      <c r="C62" s="2272"/>
      <c r="D62" s="2273"/>
      <c r="E62" s="2272"/>
      <c r="F62" s="2272"/>
      <c r="G62" s="2272"/>
      <c r="H62" s="2272"/>
      <c r="I62" s="2272"/>
      <c r="J62" s="2272"/>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5" t="s">
        <v>2076</v>
      </c>
      <c r="B63" s="134"/>
      <c r="C63" s="2272"/>
      <c r="D63" s="2273"/>
      <c r="E63" s="2272"/>
      <c r="F63" s="2272"/>
      <c r="G63" s="2272"/>
      <c r="H63" s="2272"/>
      <c r="I63" s="2272"/>
      <c r="J63" s="2272"/>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6"/>
      <c r="D64" s="2337"/>
      <c r="K64" s="798"/>
      <c r="L64" s="798"/>
    </row>
    <row r="65" spans="1:12" s="964" customFormat="1">
      <c r="A65" s="2336"/>
      <c r="D65" s="2337"/>
      <c r="K65" s="798"/>
      <c r="L65" s="798"/>
    </row>
    <row r="66" spans="1:12" s="964" customFormat="1">
      <c r="A66" s="2336"/>
      <c r="D66" s="2337"/>
      <c r="K66" s="798"/>
      <c r="L66" s="798"/>
    </row>
    <row r="67" spans="1:12" s="964" customFormat="1">
      <c r="A67" s="2336"/>
      <c r="D67" s="2337"/>
      <c r="K67" s="798"/>
      <c r="L67" s="798"/>
    </row>
    <row r="68" spans="1:12" s="964" customFormat="1">
      <c r="A68" s="2336"/>
      <c r="D68" s="2337"/>
      <c r="K68" s="798"/>
      <c r="L68" s="798"/>
    </row>
    <row r="69" spans="1:12" s="964" customFormat="1">
      <c r="A69" s="2336"/>
      <c r="D69" s="2337"/>
      <c r="K69" s="798"/>
      <c r="L69" s="798"/>
    </row>
    <row r="70" spans="1:12" s="964" customFormat="1">
      <c r="A70" s="2336"/>
      <c r="D70" s="2337"/>
      <c r="K70" s="798"/>
      <c r="L70" s="798"/>
    </row>
    <row r="71" spans="1:12" s="964" customFormat="1">
      <c r="A71" s="2336"/>
      <c r="D71" s="2337"/>
      <c r="K71" s="798"/>
      <c r="L71" s="798"/>
    </row>
    <row r="72" spans="1:12" s="964" customFormat="1">
      <c r="A72" s="2336"/>
      <c r="D72" s="2337"/>
      <c r="K72" s="798"/>
      <c r="L72" s="798"/>
    </row>
    <row r="73" spans="1:12" s="964" customFormat="1">
      <c r="A73" s="2336"/>
      <c r="D73" s="2337"/>
      <c r="K73" s="798"/>
      <c r="L73" s="798"/>
    </row>
    <row r="74" spans="1:12" s="964" customFormat="1">
      <c r="A74" s="2336"/>
      <c r="D74" s="2337"/>
      <c r="K74" s="798"/>
      <c r="L74" s="798"/>
    </row>
    <row r="75" spans="1:12" s="964" customFormat="1">
      <c r="A75" s="2336"/>
      <c r="D75" s="2337"/>
      <c r="K75" s="798"/>
      <c r="L75" s="798"/>
    </row>
    <row r="76" spans="1:12" s="964" customFormat="1">
      <c r="A76" s="2336"/>
      <c r="D76" s="2337"/>
      <c r="K76" s="798"/>
      <c r="L76" s="798"/>
    </row>
    <row r="77" spans="1:12" s="964" customFormat="1">
      <c r="A77" s="2336"/>
      <c r="D77" s="2337"/>
      <c r="K77" s="798"/>
      <c r="L77" s="798"/>
    </row>
    <row r="78" spans="1:12" s="964" customFormat="1">
      <c r="A78" s="2336"/>
      <c r="D78" s="2337"/>
      <c r="K78" s="798"/>
      <c r="L78" s="798"/>
    </row>
    <row r="79" spans="1:12" s="964" customFormat="1">
      <c r="A79" s="2336"/>
      <c r="D79" s="2337"/>
      <c r="K79" s="798"/>
      <c r="L79" s="798"/>
    </row>
    <row r="80" spans="1:12" s="964" customFormat="1">
      <c r="A80" s="2336"/>
      <c r="D80" s="2337"/>
      <c r="K80" s="798"/>
      <c r="L80" s="798"/>
    </row>
    <row r="81" spans="1:12" s="964" customFormat="1">
      <c r="A81" s="2336"/>
      <c r="D81" s="2337"/>
      <c r="K81" s="798"/>
      <c r="L81" s="798"/>
    </row>
    <row r="82" spans="1:12" s="964" customFormat="1">
      <c r="A82" s="2336"/>
      <c r="D82" s="2337"/>
      <c r="K82" s="798"/>
      <c r="L82" s="798"/>
    </row>
    <row r="83" spans="1:12" s="964" customFormat="1">
      <c r="A83" s="2336"/>
      <c r="D83" s="2337"/>
      <c r="K83" s="798"/>
      <c r="L83" s="798"/>
    </row>
    <row r="84" spans="1:12" s="964" customFormat="1">
      <c r="A84" s="2336"/>
      <c r="D84" s="2337"/>
      <c r="K84" s="798"/>
      <c r="L84" s="798"/>
    </row>
    <row r="85" spans="1:12" s="964" customFormat="1">
      <c r="A85" s="2336"/>
      <c r="D85" s="2337"/>
      <c r="K85" s="798"/>
      <c r="L85" s="798"/>
    </row>
    <row r="86" spans="1:12" s="964" customFormat="1">
      <c r="A86" s="2336"/>
      <c r="D86" s="2337"/>
      <c r="K86" s="798"/>
      <c r="L86" s="798"/>
    </row>
    <row r="87" spans="1:12" s="964" customFormat="1">
      <c r="A87" s="2336"/>
      <c r="D87" s="2337"/>
      <c r="K87" s="798"/>
      <c r="L87" s="798"/>
    </row>
    <row r="88" spans="1:12" s="964" customFormat="1">
      <c r="A88" s="2336"/>
      <c r="D88" s="2337"/>
      <c r="K88" s="798"/>
      <c r="L88" s="798"/>
    </row>
    <row r="89" spans="1:12" s="964" customFormat="1">
      <c r="A89" s="2336"/>
      <c r="D89" s="2337"/>
      <c r="K89" s="798"/>
      <c r="L89" s="798"/>
    </row>
    <row r="90" spans="1:12" s="964" customFormat="1">
      <c r="A90" s="2336"/>
      <c r="D90" s="2337"/>
      <c r="K90" s="798"/>
      <c r="L90" s="798"/>
    </row>
    <row r="91" spans="1:12" s="964" customFormat="1">
      <c r="A91" s="2336"/>
      <c r="D91" s="2337"/>
      <c r="K91" s="798"/>
      <c r="L91" s="798"/>
    </row>
    <row r="92" spans="1:12" s="964" customFormat="1">
      <c r="A92" s="2336"/>
      <c r="D92" s="2337"/>
      <c r="K92" s="798"/>
      <c r="L92" s="798"/>
    </row>
    <row r="93" spans="1:12" s="964" customFormat="1">
      <c r="A93" s="2336"/>
      <c r="D93" s="2337"/>
      <c r="K93" s="798"/>
      <c r="L93" s="798"/>
    </row>
    <row r="94" spans="1:12" s="964" customFormat="1">
      <c r="A94" s="2336"/>
      <c r="D94" s="2337"/>
      <c r="K94" s="798"/>
      <c r="L94" s="798"/>
    </row>
    <row r="95" spans="1:12" s="964" customFormat="1">
      <c r="A95" s="2336"/>
      <c r="D95" s="2337"/>
      <c r="K95" s="798"/>
      <c r="L95" s="798"/>
    </row>
    <row r="96" spans="1:12" s="964" customFormat="1">
      <c r="A96" s="2336"/>
      <c r="D96" s="2337"/>
      <c r="K96" s="798"/>
      <c r="L96" s="798"/>
    </row>
    <row r="97" spans="1:12" s="964" customFormat="1">
      <c r="A97" s="2336"/>
      <c r="D97" s="2337"/>
      <c r="K97" s="798"/>
      <c r="L97" s="798"/>
    </row>
    <row r="98" spans="1:12" s="964" customFormat="1">
      <c r="A98" s="2336"/>
      <c r="D98" s="2337"/>
      <c r="K98" s="798"/>
      <c r="L98" s="798"/>
    </row>
    <row r="99" spans="1:12" s="964" customFormat="1">
      <c r="A99" s="2336"/>
      <c r="D99" s="2337"/>
      <c r="K99" s="798"/>
      <c r="L99" s="798"/>
    </row>
    <row r="100" spans="1:12" s="964" customFormat="1">
      <c r="A100" s="2336"/>
      <c r="D100" s="2337"/>
      <c r="K100" s="798"/>
      <c r="L100" s="798"/>
    </row>
    <row r="101" spans="1:12" s="964" customFormat="1">
      <c r="A101" s="2336"/>
      <c r="D101" s="2337"/>
      <c r="K101" s="798"/>
      <c r="L101" s="798"/>
    </row>
    <row r="102" spans="1:12" s="964" customFormat="1">
      <c r="A102" s="2336"/>
      <c r="D102" s="2337"/>
      <c r="K102" s="798"/>
      <c r="L102" s="798"/>
    </row>
    <row r="103" spans="1:12" s="964" customFormat="1">
      <c r="A103" s="2336"/>
      <c r="D103" s="2337"/>
      <c r="K103" s="798"/>
      <c r="L103" s="798"/>
    </row>
    <row r="104" spans="1:12" s="964" customFormat="1">
      <c r="A104" s="2336"/>
      <c r="D104" s="2337"/>
      <c r="K104" s="798"/>
      <c r="L104" s="798"/>
    </row>
    <row r="105" spans="1:12" s="964" customFormat="1">
      <c r="A105" s="2336"/>
      <c r="D105" s="2337"/>
      <c r="K105" s="798"/>
      <c r="L105" s="798"/>
    </row>
    <row r="106" spans="1:12" s="964" customFormat="1">
      <c r="A106" s="2336"/>
      <c r="D106" s="2337"/>
      <c r="K106" s="798"/>
      <c r="L106" s="798"/>
    </row>
    <row r="107" spans="1:12" s="964" customFormat="1">
      <c r="A107" s="2336"/>
      <c r="D107" s="2337"/>
      <c r="K107" s="798"/>
      <c r="L107" s="798"/>
    </row>
    <row r="108" spans="1:12" s="964" customFormat="1">
      <c r="A108" s="2336"/>
      <c r="D108" s="2337"/>
      <c r="K108" s="798"/>
      <c r="L108" s="798"/>
    </row>
    <row r="109" spans="1:12" s="964" customFormat="1">
      <c r="A109" s="2336"/>
      <c r="D109" s="2337"/>
      <c r="K109" s="798"/>
      <c r="L109" s="798"/>
    </row>
    <row r="110" spans="1:12" s="964" customFormat="1">
      <c r="A110" s="2336"/>
      <c r="D110" s="2337"/>
      <c r="K110" s="798"/>
      <c r="L110" s="798"/>
    </row>
    <row r="111" spans="1:12" s="964" customFormat="1">
      <c r="A111" s="2336"/>
      <c r="D111" s="2337"/>
      <c r="K111" s="798"/>
      <c r="L111" s="798"/>
    </row>
    <row r="112" spans="1:12" s="964" customFormat="1">
      <c r="A112" s="2336"/>
      <c r="D112" s="2337"/>
      <c r="K112" s="798"/>
      <c r="L112" s="798"/>
    </row>
    <row r="113" spans="1:12" s="964" customFormat="1">
      <c r="A113" s="2336"/>
      <c r="D113" s="2337"/>
      <c r="K113" s="798"/>
      <c r="L113" s="798"/>
    </row>
    <row r="114" spans="1:12" s="964" customFormat="1">
      <c r="A114" s="2336"/>
      <c r="D114" s="2337"/>
      <c r="K114" s="798"/>
      <c r="L114" s="798"/>
    </row>
    <row r="115" spans="1:12" s="964" customFormat="1">
      <c r="A115" s="2336"/>
      <c r="D115" s="2337"/>
      <c r="K115" s="798"/>
      <c r="L115" s="798"/>
    </row>
    <row r="116" spans="1:12" s="964" customFormat="1">
      <c r="A116" s="2336"/>
      <c r="D116" s="2337"/>
      <c r="K116" s="798"/>
      <c r="L116" s="798"/>
    </row>
    <row r="117" spans="1:12" s="964" customFormat="1">
      <c r="A117" s="2336"/>
      <c r="D117" s="2337"/>
      <c r="K117" s="798"/>
      <c r="L117" s="798"/>
    </row>
    <row r="118" spans="1:12" s="964" customFormat="1">
      <c r="A118" s="2336"/>
      <c r="D118" s="2337"/>
      <c r="K118" s="798"/>
      <c r="L118" s="798"/>
    </row>
    <row r="119" spans="1:12" s="964" customFormat="1">
      <c r="A119" s="2336"/>
      <c r="D119" s="2337"/>
      <c r="K119" s="798"/>
      <c r="L119" s="798"/>
    </row>
    <row r="120" spans="1:12" s="964" customFormat="1">
      <c r="A120" s="2336"/>
      <c r="D120" s="2337"/>
      <c r="K120" s="798"/>
      <c r="L120" s="798"/>
    </row>
    <row r="121" spans="1:12" s="964" customFormat="1">
      <c r="A121" s="2336"/>
      <c r="D121" s="2337"/>
      <c r="K121" s="798"/>
      <c r="L121" s="798"/>
    </row>
    <row r="122" spans="1:12" s="964" customFormat="1">
      <c r="A122" s="2336"/>
      <c r="D122" s="2337"/>
      <c r="K122" s="798"/>
      <c r="L122" s="798"/>
    </row>
    <row r="123" spans="1:12" s="964" customFormat="1">
      <c r="A123" s="2336"/>
      <c r="D123" s="2337"/>
      <c r="K123" s="798"/>
      <c r="L123" s="798"/>
    </row>
    <row r="124" spans="1:12" s="964" customFormat="1">
      <c r="A124" s="2336"/>
      <c r="D124" s="2337"/>
      <c r="K124" s="798"/>
      <c r="L124" s="798"/>
    </row>
    <row r="125" spans="1:12" s="964" customFormat="1">
      <c r="A125" s="2336"/>
      <c r="D125" s="2337"/>
      <c r="K125" s="798"/>
      <c r="L125" s="798"/>
    </row>
    <row r="126" spans="1:12" s="964" customFormat="1">
      <c r="A126" s="2336"/>
      <c r="D126" s="2337"/>
      <c r="K126" s="798"/>
      <c r="L126" s="798"/>
    </row>
    <row r="127" spans="1:12" s="964" customFormat="1">
      <c r="A127" s="2336"/>
      <c r="D127" s="2337"/>
      <c r="K127" s="798"/>
      <c r="L127" s="798"/>
    </row>
    <row r="128" spans="1:12" s="964" customFormat="1">
      <c r="A128" s="2336"/>
      <c r="D128" s="2337"/>
      <c r="K128" s="798"/>
      <c r="L128" s="798"/>
    </row>
    <row r="129" spans="1:12" s="964" customFormat="1">
      <c r="A129" s="2336"/>
      <c r="D129" s="2337"/>
      <c r="K129" s="798"/>
      <c r="L129" s="798"/>
    </row>
    <row r="130" spans="1:12" s="964" customFormat="1">
      <c r="A130" s="2336"/>
      <c r="D130" s="2337"/>
      <c r="K130" s="798"/>
      <c r="L130" s="798"/>
    </row>
    <row r="131" spans="1:12" s="964" customFormat="1">
      <c r="A131" s="2336"/>
      <c r="D131" s="2337"/>
      <c r="K131" s="798"/>
      <c r="L131" s="798"/>
    </row>
    <row r="132" spans="1:12" s="964" customFormat="1">
      <c r="A132" s="2336"/>
      <c r="D132" s="2337"/>
      <c r="K132" s="798"/>
      <c r="L132" s="798"/>
    </row>
    <row r="133" spans="1:12" s="964"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72" t="s">
        <v>2077</v>
      </c>
      <c r="B1" s="3073"/>
      <c r="C1" s="3073"/>
      <c r="D1" s="3073"/>
      <c r="E1" s="3073"/>
      <c r="F1" s="3073"/>
      <c r="G1" s="3073"/>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2078</v>
      </c>
      <c r="D2" s="2360"/>
      <c r="E2" s="2361"/>
      <c r="F2" s="2281"/>
      <c r="G2" s="2359" t="s">
        <v>2079</v>
      </c>
      <c r="H2" s="2362"/>
      <c r="I2" s="2362"/>
      <c r="J2" s="2362"/>
      <c r="K2" s="2362"/>
      <c r="L2" s="2362"/>
      <c r="M2" s="2362"/>
      <c r="N2" s="2362"/>
      <c r="O2" s="2362"/>
      <c r="P2" s="2362"/>
      <c r="Q2" s="2362"/>
      <c r="R2" s="2362"/>
    </row>
    <row r="3" spans="1:29" ht="54">
      <c r="A3" s="415" t="s">
        <v>2080</v>
      </c>
      <c r="B3" s="1268" t="s">
        <v>2081</v>
      </c>
      <c r="C3" s="2364" t="s">
        <v>2082</v>
      </c>
      <c r="D3" s="2365"/>
      <c r="E3" s="431" t="s">
        <v>2080</v>
      </c>
      <c r="F3" s="2366" t="s">
        <v>2083</v>
      </c>
      <c r="G3" s="2367" t="s">
        <v>2084</v>
      </c>
      <c r="H3" s="2362"/>
      <c r="I3" s="2362"/>
      <c r="J3" s="2362"/>
      <c r="K3" s="2362"/>
      <c r="L3" s="2362"/>
      <c r="M3" s="2362"/>
      <c r="N3" s="2362"/>
      <c r="O3" s="2362"/>
      <c r="P3" s="2362"/>
      <c r="Q3" s="2362"/>
      <c r="R3" s="2362"/>
    </row>
    <row r="4" spans="1:29" ht="41.25">
      <c r="A4" s="431"/>
      <c r="B4" s="1794" t="s">
        <v>2085</v>
      </c>
      <c r="C4" s="2368" t="s">
        <v>2086</v>
      </c>
      <c r="D4" s="2365"/>
      <c r="E4" s="2369"/>
      <c r="F4" s="42" t="s">
        <v>2087</v>
      </c>
      <c r="G4" s="2370" t="s">
        <v>2088</v>
      </c>
      <c r="H4" s="2362"/>
      <c r="I4" s="2362"/>
      <c r="J4" s="2362"/>
      <c r="K4" s="2362"/>
      <c r="L4" s="2362"/>
      <c r="M4" s="2362"/>
      <c r="N4" s="2362"/>
      <c r="O4" s="2362"/>
      <c r="P4" s="2362"/>
      <c r="Q4" s="2362"/>
      <c r="R4" s="2362"/>
    </row>
    <row r="5" spans="1:29" ht="41.25">
      <c r="A5" s="431"/>
      <c r="B5" s="1794" t="s">
        <v>2089</v>
      </c>
      <c r="C5" s="2368" t="s">
        <v>2090</v>
      </c>
      <c r="D5" s="2365"/>
      <c r="E5" s="2369"/>
      <c r="F5" s="1794" t="s">
        <v>2091</v>
      </c>
      <c r="G5" s="2370" t="s">
        <v>2092</v>
      </c>
      <c r="H5" s="2362"/>
      <c r="I5" s="2362"/>
      <c r="J5" s="2362"/>
      <c r="K5" s="2362"/>
      <c r="L5" s="2362"/>
      <c r="M5" s="2362"/>
      <c r="N5" s="2362"/>
      <c r="O5" s="2362"/>
      <c r="P5" s="2362"/>
      <c r="Q5" s="2362"/>
      <c r="R5" s="2362"/>
    </row>
    <row r="6" spans="1:29" ht="54">
      <c r="A6" s="431"/>
      <c r="B6" s="1794" t="s">
        <v>2093</v>
      </c>
      <c r="C6" s="2370" t="s">
        <v>2088</v>
      </c>
      <c r="D6" s="2365"/>
      <c r="E6" s="2369"/>
      <c r="F6" s="1794" t="s">
        <v>2094</v>
      </c>
      <c r="G6" s="2370" t="s">
        <v>2095</v>
      </c>
      <c r="H6" s="2362"/>
      <c r="I6" s="2362"/>
      <c r="J6" s="2362"/>
      <c r="K6" s="2362"/>
      <c r="L6" s="2362"/>
      <c r="M6" s="2362"/>
      <c r="N6" s="2362"/>
      <c r="O6" s="2362"/>
      <c r="P6" s="2362"/>
      <c r="Q6" s="2362"/>
      <c r="R6" s="2362"/>
    </row>
    <row r="7" spans="1:29" ht="41.25" thickBot="1">
      <c r="A7" s="431"/>
      <c r="B7" s="1794" t="s">
        <v>2091</v>
      </c>
      <c r="C7" s="2370" t="s">
        <v>2092</v>
      </c>
      <c r="D7" s="2371"/>
      <c r="E7" s="2372"/>
      <c r="F7" s="2373" t="s">
        <v>2096</v>
      </c>
      <c r="G7" s="2374" t="s">
        <v>2097</v>
      </c>
      <c r="H7" s="2362"/>
      <c r="I7" s="2362"/>
      <c r="J7" s="2362"/>
      <c r="K7" s="2362"/>
      <c r="L7" s="2362"/>
      <c r="M7" s="2362"/>
      <c r="N7" s="2362"/>
      <c r="O7" s="2362"/>
      <c r="P7" s="2362"/>
      <c r="Q7" s="2362"/>
      <c r="R7" s="2362"/>
    </row>
    <row r="8" spans="1:29" ht="27">
      <c r="A8" s="431"/>
      <c r="B8" s="1794" t="s">
        <v>2094</v>
      </c>
      <c r="C8" s="2370" t="s">
        <v>2095</v>
      </c>
      <c r="D8" s="2371"/>
      <c r="E8" s="2371"/>
      <c r="F8" s="1133"/>
      <c r="G8" s="1133"/>
      <c r="H8" s="2362"/>
      <c r="I8" s="2362"/>
      <c r="J8" s="2362"/>
      <c r="K8" s="2362"/>
      <c r="L8" s="2362"/>
      <c r="M8" s="2362"/>
      <c r="N8" s="2362"/>
      <c r="O8" s="2362"/>
      <c r="P8" s="2362"/>
      <c r="Q8" s="2362"/>
      <c r="R8" s="2362"/>
    </row>
    <row r="9" spans="1:29" ht="27">
      <c r="A9" s="431"/>
      <c r="B9" s="1794" t="s">
        <v>2098</v>
      </c>
      <c r="C9" s="2368" t="s">
        <v>2099</v>
      </c>
      <c r="D9" s="2365"/>
      <c r="E9" s="2371"/>
      <c r="F9" s="1133"/>
      <c r="G9" s="1133"/>
      <c r="H9" s="2362"/>
      <c r="I9" s="2362"/>
      <c r="J9" s="2362"/>
      <c r="K9" s="2362"/>
      <c r="L9" s="2362"/>
      <c r="M9" s="2362"/>
      <c r="N9" s="2362"/>
      <c r="O9" s="2362"/>
      <c r="P9" s="2362"/>
      <c r="Q9" s="2362"/>
      <c r="R9" s="2362"/>
    </row>
    <row r="10" spans="1:29" s="117" customFormat="1" ht="15.75" thickBot="1">
      <c r="A10" s="2375"/>
      <c r="B10" s="2376" t="s">
        <v>2100</v>
      </c>
      <c r="C10" s="2377"/>
      <c r="D10" s="2365"/>
      <c r="E10" s="2365"/>
      <c r="F10" s="1133"/>
      <c r="G10" s="1133"/>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51"/>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51"/>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2101</v>
      </c>
      <c r="B13" s="2382"/>
      <c r="C13" s="2382"/>
      <c r="D13" s="2389"/>
      <c r="E13" s="2382"/>
      <c r="F13" s="2382"/>
      <c r="G13" s="2382"/>
    </row>
    <row r="14" spans="1:29" ht="15.75" thickBot="1">
      <c r="A14" s="2393"/>
      <c r="B14" s="2394"/>
      <c r="C14" s="2395" t="s">
        <v>2102</v>
      </c>
      <c r="D14" s="2365"/>
      <c r="E14" s="2396"/>
      <c r="F14" s="2396"/>
      <c r="G14" s="2359" t="s">
        <v>2103</v>
      </c>
    </row>
    <row r="15" spans="1:29" ht="57">
      <c r="A15" s="68" t="s">
        <v>2104</v>
      </c>
      <c r="B15" s="1267" t="s">
        <v>2081</v>
      </c>
      <c r="C15" s="2397" t="str">
        <f>C3</f>
        <v>估价对象周边居住用地比例、居住小区规模和社区发展完善程度，综合评价居住社区成熟度一般</v>
      </c>
      <c r="D15" s="2365"/>
      <c r="E15" s="2398" t="s">
        <v>2105</v>
      </c>
      <c r="F15" s="1267" t="s">
        <v>2106</v>
      </c>
      <c r="G15" s="135" t="str">
        <f>G3</f>
        <v>估价对象位于XX开发区，园区建设成熟度XX，产业集聚程度XX</v>
      </c>
    </row>
    <row r="16" spans="1:29" ht="42.75">
      <c r="A16" s="645"/>
      <c r="B16" s="2399" t="s">
        <v>2085</v>
      </c>
      <c r="C16" s="2400" t="str">
        <f>C4</f>
        <v>估价对象位于XX商圈，周边商业氛围成熟，人流量大，商业繁华度好</v>
      </c>
      <c r="D16" s="2365"/>
      <c r="E16" s="2401"/>
      <c r="F16" s="2402" t="s">
        <v>2087</v>
      </c>
      <c r="G16" s="136" t="str">
        <f>G4</f>
        <v>估价对象周边道路状况、公共交通通达情况、停车便捷程度，综合评价交通便捷度较好</v>
      </c>
    </row>
    <row r="17" spans="1:18" ht="42.75">
      <c r="A17" s="645"/>
      <c r="B17" s="2399" t="s">
        <v>2089</v>
      </c>
      <c r="C17" s="2400" t="str">
        <f>C5</f>
        <v>估价对象位于XX商圈，周边办公楼项目较多，入驻率高，办公集聚程度较好</v>
      </c>
      <c r="D17" s="2371"/>
      <c r="E17" s="2401"/>
      <c r="F17" s="2402" t="s">
        <v>2107</v>
      </c>
      <c r="G17" s="1569"/>
    </row>
    <row r="18" spans="1:18" ht="57">
      <c r="A18" s="645"/>
      <c r="B18" s="2402" t="s">
        <v>2093</v>
      </c>
      <c r="C18" s="136" t="str">
        <f>C6</f>
        <v>估价对象周边道路状况、公共交通通达情况、停车便捷程度，综合评价交通便捷度较好</v>
      </c>
      <c r="D18" s="2371"/>
      <c r="E18" s="2401"/>
      <c r="F18" s="2402" t="s">
        <v>2096</v>
      </c>
      <c r="G18" s="136" t="str">
        <f>G7</f>
        <v>该园区内是否有污染型企业，绿化情况，卫生条件，整体环境状况判断</v>
      </c>
    </row>
    <row r="19" spans="1:18" ht="28.5">
      <c r="A19" s="645"/>
      <c r="B19" s="2402" t="s">
        <v>2108</v>
      </c>
      <c r="C19" s="1569"/>
      <c r="D19" s="2365"/>
      <c r="E19" s="2401"/>
      <c r="F19" s="1794" t="s">
        <v>2091</v>
      </c>
      <c r="G19" s="136" t="str">
        <f>G5</f>
        <v>估价对象所在区域公共配套设施齐备情况</v>
      </c>
    </row>
    <row r="20" spans="1:18" ht="28.5">
      <c r="A20" s="645"/>
      <c r="B20" s="2402" t="s">
        <v>2109</v>
      </c>
      <c r="C20" s="2400" t="str">
        <f>C9</f>
        <v>区域自然环境：；人文环境；综合评价环境状况一般</v>
      </c>
      <c r="D20" s="2371"/>
      <c r="E20" s="2401"/>
      <c r="F20" s="1794" t="s">
        <v>2110</v>
      </c>
      <c r="G20" s="136" t="str">
        <f>G6</f>
        <v>估价对象所在区域基础设施水平</v>
      </c>
    </row>
    <row r="21" spans="1:18" ht="28.5">
      <c r="A21" s="645"/>
      <c r="B21" s="1794" t="s">
        <v>2091</v>
      </c>
      <c r="C21" s="136" t="str">
        <f>C7</f>
        <v>估价对象所在区域公共配套设施齐备情况</v>
      </c>
      <c r="D21" s="2365"/>
      <c r="E21" s="2401"/>
      <c r="F21" s="2402" t="s">
        <v>2111</v>
      </c>
      <c r="G21" s="2403"/>
    </row>
    <row r="22" spans="1:18" ht="13.5" customHeight="1">
      <c r="A22" s="645"/>
      <c r="B22" s="1794" t="s">
        <v>2094</v>
      </c>
      <c r="C22" s="136" t="str">
        <f>C8</f>
        <v>估价对象所在区域基础设施水平</v>
      </c>
      <c r="D22" s="2365"/>
      <c r="E22" s="2401"/>
      <c r="F22" s="2402" t="s">
        <v>2100</v>
      </c>
      <c r="G22" s="1569"/>
    </row>
    <row r="23" spans="1:18" s="2362" customFormat="1" ht="15.75" thickBot="1">
      <c r="A23" s="645"/>
      <c r="B23" s="2402" t="s">
        <v>2111</v>
      </c>
      <c r="C23" s="2403"/>
      <c r="D23" s="2390"/>
      <c r="E23" s="2404"/>
      <c r="F23" s="2405" t="s">
        <v>2112</v>
      </c>
      <c r="G23" s="2406"/>
      <c r="H23" s="2390"/>
      <c r="I23" s="2391"/>
      <c r="J23" s="2390"/>
      <c r="K23" s="2390"/>
      <c r="L23" s="2391"/>
      <c r="M23" s="2390"/>
      <c r="N23" s="2390"/>
      <c r="O23" s="2391"/>
      <c r="P23" s="2390"/>
      <c r="Q23" s="2390"/>
      <c r="R23" s="2392"/>
    </row>
    <row r="24" spans="1:18" s="2362" customFormat="1" ht="15.75" thickBot="1">
      <c r="A24" s="2407"/>
      <c r="B24" s="2405" t="s">
        <v>2113</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51328.59</v>
      </c>
      <c r="C1" s="1742"/>
      <c r="D1" s="1742"/>
      <c r="E1" s="1742"/>
      <c r="F1" s="1742"/>
      <c r="G1" s="1740"/>
    </row>
    <row r="2" spans="1:10" ht="16.5">
      <c r="A2" s="1743" t="s">
        <v>1348</v>
      </c>
      <c r="B2" s="1743">
        <f>SUM(C14:C23)</f>
        <v>7779.45</v>
      </c>
      <c r="C2" s="1742"/>
      <c r="D2" s="1742"/>
      <c r="E2" s="1742"/>
      <c r="F2" s="1742"/>
      <c r="G2" s="1740"/>
    </row>
    <row r="3" spans="1:10" ht="16.5">
      <c r="A3" s="1743" t="s">
        <v>1357</v>
      </c>
      <c r="B3" s="1744">
        <f>项目基本情况!D3</f>
        <v>43902</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155579</v>
      </c>
      <c r="C5" s="1743">
        <f ca="1">ROUND(B5*10000/$B$1,0)</f>
        <v>30310</v>
      </c>
      <c r="D5" s="1743">
        <f ca="1">ROUND(B5*10000/$B$2,0)</f>
        <v>199987</v>
      </c>
      <c r="E5" s="1742"/>
      <c r="F5" s="1740"/>
      <c r="G5" s="1740"/>
    </row>
    <row r="6" spans="1:10" ht="16.5">
      <c r="A6" s="1743" t="s">
        <v>1351</v>
      </c>
      <c r="B6" s="1743">
        <f ca="1">SUM(G14:G23)</f>
        <v>155579</v>
      </c>
      <c r="C6" s="1743">
        <f ca="1">ROUND(B6*10000/$B$1,0)</f>
        <v>30310</v>
      </c>
      <c r="D6" s="1743">
        <f ca="1">ROUND(B6*10000/$B$2,0)</f>
        <v>199987</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SUM(I14:I23)</f>
        <v>0</v>
      </c>
      <c r="C8" s="1743">
        <f>ROUND(B8*10000/$B$1,0)</f>
        <v>0</v>
      </c>
      <c r="D8" s="1743">
        <f>ROUND(B8*10000/$B$2,0)</f>
        <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51328.59</v>
      </c>
      <c r="C14" s="1741">
        <f>结果表!C118</f>
        <v>7779.45</v>
      </c>
      <c r="D14" s="1741">
        <f ca="1">结果表!H118</f>
        <v>155579</v>
      </c>
      <c r="E14" s="1741">
        <f ca="1">ROUND(D14*10000/B14,0)</f>
        <v>30310</v>
      </c>
      <c r="F14" s="1741">
        <f ca="1">ROUND(D14*10000/C14,0)</f>
        <v>199987</v>
      </c>
      <c r="G14" s="1741">
        <f ca="1">结果表!D122</f>
        <v>155579</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06" zoomScaleNormal="100" zoomScaleSheetLayoutView="100" zoomScalePageLayoutView="80" workbookViewId="0">
      <selection activeCell="G27" sqref="G27"/>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0" t="s">
        <v>2114</v>
      </c>
      <c r="B1" s="2413"/>
      <c r="C1" s="2414"/>
      <c r="D1" s="2413"/>
      <c r="E1" s="2413"/>
      <c r="F1" s="2415" t="s">
        <v>2115</v>
      </c>
      <c r="G1" s="2066" t="s">
        <v>3089</v>
      </c>
      <c r="H1" s="2416" t="str">
        <f>IF(G1="现房","——","估价对象范围")</f>
        <v>——</v>
      </c>
      <c r="I1" s="2417"/>
    </row>
    <row r="2" spans="1:12" ht="21.75" customHeight="1" thickBot="1">
      <c r="A2" s="3146" t="str">
        <f>项目基本情况!S2</f>
        <v>北京市朝阳区东三环北路29号楼-4至25层101号房地产</v>
      </c>
      <c r="B2" s="3147"/>
      <c r="C2" s="3147"/>
      <c r="D2" s="3147"/>
      <c r="E2" s="3147"/>
      <c r="F2" s="3147"/>
      <c r="G2" s="3147"/>
      <c r="H2" s="3147"/>
      <c r="I2" s="3148"/>
    </row>
    <row r="3" spans="1:12" ht="12.75">
      <c r="A3" s="3149" t="s">
        <v>2116</v>
      </c>
      <c r="B3" s="3150"/>
      <c r="C3" s="3150"/>
      <c r="D3" s="3150"/>
      <c r="E3" s="3150"/>
      <c r="F3" s="3150"/>
      <c r="G3" s="3150"/>
      <c r="H3" s="3150"/>
      <c r="I3" s="3150"/>
    </row>
    <row r="4" spans="1:12" ht="14.25">
      <c r="A4" s="2420" t="s">
        <v>2117</v>
      </c>
      <c r="B4" s="2421" t="s">
        <v>2118</v>
      </c>
      <c r="C4" s="2422" t="s">
        <v>3088</v>
      </c>
      <c r="D4" s="2422" t="s">
        <v>3066</v>
      </c>
      <c r="E4" s="3130" t="s">
        <v>2119</v>
      </c>
      <c r="F4" s="3143"/>
      <c r="G4" s="3143"/>
      <c r="H4" s="3143"/>
      <c r="I4" s="3131"/>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21" t="s">
        <v>2120</v>
      </c>
      <c r="B5" s="3047">
        <v>25</v>
      </c>
      <c r="C5" s="3151"/>
      <c r="D5" s="3139"/>
      <c r="E5" s="140" t="s">
        <v>2121</v>
      </c>
      <c r="F5" s="2424"/>
      <c r="G5" s="2424"/>
      <c r="H5" s="2424"/>
      <c r="I5" s="1830"/>
    </row>
    <row r="6" spans="1:12" ht="12.75">
      <c r="A6" s="3121"/>
      <c r="B6" s="3047"/>
      <c r="C6" s="3153"/>
      <c r="D6" s="3139"/>
      <c r="E6" s="140" t="s">
        <v>2122</v>
      </c>
      <c r="F6" s="2424"/>
      <c r="G6" s="2424"/>
      <c r="H6" s="2424"/>
      <c r="I6" s="1830"/>
    </row>
    <row r="7" spans="1:12" ht="12.75">
      <c r="A7" s="3121"/>
      <c r="B7" s="3047"/>
      <c r="C7" s="3152"/>
      <c r="D7" s="3139"/>
      <c r="E7" s="140" t="s">
        <v>2123</v>
      </c>
      <c r="F7" s="2424"/>
      <c r="G7" s="2424"/>
      <c r="H7" s="2424"/>
      <c r="I7" s="1830"/>
    </row>
    <row r="8" spans="1:12" ht="12.75">
      <c r="A8" s="3121" t="s">
        <v>2124</v>
      </c>
      <c r="B8" s="3047">
        <v>15</v>
      </c>
      <c r="C8" s="3151"/>
      <c r="D8" s="3139"/>
      <c r="E8" s="140" t="s">
        <v>2125</v>
      </c>
      <c r="F8" s="2424"/>
      <c r="G8" s="2424"/>
      <c r="H8" s="2424"/>
      <c r="I8" s="1830"/>
    </row>
    <row r="9" spans="1:12" ht="12.75">
      <c r="A9" s="3121"/>
      <c r="B9" s="3047"/>
      <c r="C9" s="3152"/>
      <c r="D9" s="3139"/>
      <c r="E9" s="140" t="s">
        <v>2126</v>
      </c>
      <c r="F9" s="2424"/>
      <c r="G9" s="2424"/>
      <c r="H9" s="2424"/>
      <c r="I9" s="1830"/>
    </row>
    <row r="10" spans="1:12" ht="12.75">
      <c r="A10" s="3121" t="s">
        <v>2127</v>
      </c>
      <c r="B10" s="3047">
        <v>15</v>
      </c>
      <c r="C10" s="3151"/>
      <c r="D10" s="3139"/>
      <c r="E10" s="140" t="s">
        <v>2128</v>
      </c>
      <c r="F10" s="2424"/>
      <c r="G10" s="2424"/>
      <c r="H10" s="2424"/>
      <c r="I10" s="1830"/>
    </row>
    <row r="11" spans="1:12" ht="12.75">
      <c r="A11" s="3121"/>
      <c r="B11" s="3047"/>
      <c r="C11" s="3152"/>
      <c r="D11" s="3139"/>
      <c r="E11" s="140" t="s">
        <v>2129</v>
      </c>
      <c r="F11" s="2424"/>
      <c r="G11" s="2424"/>
      <c r="H11" s="2424"/>
      <c r="I11" s="1830"/>
    </row>
    <row r="12" spans="1:12" ht="12.75">
      <c r="A12" s="3121" t="s">
        <v>2130</v>
      </c>
      <c r="B12" s="3047">
        <v>15</v>
      </c>
      <c r="C12" s="3151"/>
      <c r="D12" s="3139"/>
      <c r="E12" s="140" t="s">
        <v>2131</v>
      </c>
      <c r="F12" s="2424"/>
      <c r="G12" s="2424"/>
      <c r="H12" s="2424"/>
      <c r="I12" s="1830"/>
    </row>
    <row r="13" spans="1:12" ht="12.75">
      <c r="A13" s="3121"/>
      <c r="B13" s="3047"/>
      <c r="C13" s="3152"/>
      <c r="D13" s="3139"/>
      <c r="E13" s="140" t="s">
        <v>2132</v>
      </c>
      <c r="F13" s="2424"/>
      <c r="G13" s="2424"/>
      <c r="H13" s="2424"/>
      <c r="I13" s="1830"/>
    </row>
    <row r="14" spans="1:12" ht="12.75">
      <c r="A14" s="3121" t="s">
        <v>2133</v>
      </c>
      <c r="B14" s="3047">
        <v>30</v>
      </c>
      <c r="C14" s="3151">
        <v>4</v>
      </c>
      <c r="D14" s="3139">
        <v>6</v>
      </c>
      <c r="E14" s="140" t="s">
        <v>2134</v>
      </c>
      <c r="F14" s="2424"/>
      <c r="G14" s="2424"/>
      <c r="H14" s="2424"/>
      <c r="I14" s="1830"/>
    </row>
    <row r="15" spans="1:12" ht="12.75">
      <c r="A15" s="3121"/>
      <c r="B15" s="3047"/>
      <c r="C15" s="3153"/>
      <c r="D15" s="3139"/>
      <c r="E15" s="140" t="s">
        <v>2135</v>
      </c>
      <c r="F15" s="2424"/>
      <c r="G15" s="2424"/>
      <c r="H15" s="2424"/>
      <c r="I15" s="1830"/>
    </row>
    <row r="16" spans="1:12" ht="12.75">
      <c r="A16" s="3121"/>
      <c r="B16" s="3047"/>
      <c r="C16" s="3152"/>
      <c r="D16" s="3139"/>
      <c r="E16" s="140" t="s">
        <v>2136</v>
      </c>
      <c r="F16" s="2424"/>
      <c r="G16" s="2424"/>
      <c r="H16" s="2424"/>
      <c r="I16" s="1830"/>
    </row>
    <row r="17" spans="1:35" ht="15">
      <c r="A17" s="2425" t="s">
        <v>2137</v>
      </c>
      <c r="B17" s="64"/>
      <c r="C17" s="141">
        <f>SUM(C5:C16)</f>
        <v>4</v>
      </c>
      <c r="D17" s="141">
        <f>SUM(D5:D16)</f>
        <v>6</v>
      </c>
      <c r="E17" s="138"/>
      <c r="F17" s="138"/>
      <c r="G17" s="138"/>
      <c r="H17" s="138"/>
      <c r="I17" s="138"/>
      <c r="K17" s="2423"/>
      <c r="L17" s="2426" t="s">
        <v>2138</v>
      </c>
      <c r="M17" s="2426" t="s">
        <v>2139</v>
      </c>
    </row>
    <row r="18" spans="1:35" ht="15.75" thickBot="1">
      <c r="A18" s="2427" t="s">
        <v>2140</v>
      </c>
      <c r="B18" s="2428"/>
      <c r="C18" s="142">
        <f>ROUND(C17/SUM(C17:D17),2)</f>
        <v>0.4</v>
      </c>
      <c r="D18" s="142">
        <f>1-C18</f>
        <v>0.6</v>
      </c>
      <c r="E18" s="138"/>
      <c r="F18" s="138"/>
      <c r="G18" s="138"/>
      <c r="H18" s="138"/>
      <c r="I18" s="138"/>
      <c r="K18" s="2423" t="s">
        <v>2141</v>
      </c>
      <c r="L18" s="2423">
        <f>IF(C1="",'数据-汇总表'!E3,SUMIF(项目类型,C1,'数据-汇总表'!E17:E26)+SUMIF(项目类型,C1,'数据-汇总表'!I17:I26))</f>
        <v>51328.59</v>
      </c>
      <c r="M18" s="2423">
        <f>IF(C1="",'数据-汇总表'!E3,SUMIF(项目类型,C1,'数据-汇总表'!E17:E26))</f>
        <v>51328.59</v>
      </c>
    </row>
    <row r="19" spans="1:35" ht="15">
      <c r="A19" s="2429" t="s">
        <v>2142</v>
      </c>
      <c r="B19" s="2430" t="s">
        <v>2143</v>
      </c>
      <c r="C19" s="143">
        <f ca="1">SUMIF(INDIRECT("'"&amp;C4&amp;"'"&amp;"!A:A"),结果表!B19,INDIRECT("'"&amp;C4&amp;"'"&amp;"!B:B"))</f>
        <v>215772</v>
      </c>
      <c r="D19" s="144">
        <f ca="1">SUMIF(INDIRECT("'"&amp;D4&amp;"'"&amp;"!A:A"),结果表!B19,INDIRECT("'"&amp;D4&amp;"'"&amp;"!B:B"))</f>
        <v>115451</v>
      </c>
      <c r="E19" s="2429" t="s">
        <v>2144</v>
      </c>
      <c r="F19" s="2430" t="s">
        <v>2143</v>
      </c>
      <c r="G19" s="145">
        <f ca="1">ROUND(C19*$C$18+D19*$D$18,0)</f>
        <v>155579</v>
      </c>
      <c r="H19" s="2431" t="s">
        <v>2145</v>
      </c>
      <c r="I19" s="138"/>
      <c r="K19" s="2423" t="s">
        <v>2146</v>
      </c>
      <c r="L19" s="2423">
        <f>IF(C1="",'数据-汇总表'!D3,SUMIF(项目类型,C1,'数据-汇总表'!D17:D26)+SUMIF(项目类型,C1,'数据-汇总表'!H17:H27))</f>
        <v>7779.45</v>
      </c>
      <c r="M19" s="2423">
        <f>IF(C1="",'数据-汇总表'!D3,SUMIF(项目类型,C1,'数据-汇总表'!D17:D26))</f>
        <v>7779.45</v>
      </c>
    </row>
    <row r="20" spans="1:35" ht="15">
      <c r="A20" s="2432"/>
      <c r="B20" s="1247" t="s">
        <v>2147</v>
      </c>
      <c r="C20" s="146">
        <f ca="1">SUMIF(INDIRECT("'"&amp;C4&amp;"'"&amp;"!A:A"),结果表!B20,INDIRECT("'"&amp;C4&amp;"'"&amp;"!B:B"))</f>
        <v>42037</v>
      </c>
      <c r="D20" s="147">
        <f ca="1">SUMIF(INDIRECT("'"&amp;D4&amp;"'"&amp;"!A:A"),结果表!B20,INDIRECT("'"&amp;D4&amp;"'"&amp;"!B:B"))</f>
        <v>22493</v>
      </c>
      <c r="E20" s="2432"/>
      <c r="F20" s="1247" t="s">
        <v>2147</v>
      </c>
      <c r="G20" s="148">
        <f ca="1">ROUND(C20*$C$18+D20*$D$18,0)</f>
        <v>30311</v>
      </c>
      <c r="H20" s="980" t="s">
        <v>2148</v>
      </c>
      <c r="I20" s="138"/>
    </row>
    <row r="21" spans="1:35" ht="15" customHeight="1" thickBot="1">
      <c r="A21" s="1000"/>
      <c r="B21" s="2433" t="s">
        <v>2149</v>
      </c>
      <c r="C21" s="789">
        <f ca="1">ROUND(C19*10000/L19,0)</f>
        <v>277362</v>
      </c>
      <c r="D21" s="790">
        <f ca="1">ROUND(D19*10000/L19,0)</f>
        <v>148405</v>
      </c>
      <c r="E21" s="1000"/>
      <c r="F21" s="2433" t="s">
        <v>2149</v>
      </c>
      <c r="G21" s="149">
        <f ca="1">ROUND(G19*10000/L19,0)</f>
        <v>199987</v>
      </c>
      <c r="H21" s="2434" t="s">
        <v>2148</v>
      </c>
      <c r="I21" s="138"/>
    </row>
    <row r="22" spans="1:35" ht="15" thickBot="1">
      <c r="A22" s="2276" t="s">
        <v>2150</v>
      </c>
      <c r="B22" s="2435"/>
      <c r="C22" s="2436"/>
      <c r="D22" s="791">
        <f ca="1">IF(C19&lt;D19,D19/C19-1,C19/D19-1)</f>
        <v>0.868948731496479</v>
      </c>
      <c r="E22" s="138"/>
      <c r="F22" s="138"/>
      <c r="G22" s="138"/>
      <c r="H22" s="138"/>
      <c r="I22" s="138"/>
    </row>
    <row r="23" spans="1:35" ht="13.5" thickBot="1">
      <c r="A23" s="2413"/>
      <c r="B23" s="2413"/>
      <c r="C23" s="2413"/>
      <c r="D23" s="2413"/>
      <c r="E23" s="138"/>
      <c r="F23" s="138"/>
      <c r="G23" s="138"/>
      <c r="H23" s="138"/>
      <c r="I23" s="138"/>
    </row>
    <row r="24" spans="1:35" ht="14.25">
      <c r="A24" s="3160" t="s">
        <v>2151</v>
      </c>
      <c r="B24" s="2430" t="s">
        <v>2143</v>
      </c>
      <c r="C24" s="145">
        <f>IF(B30=0,0,D30)</f>
        <v>0</v>
      </c>
      <c r="D24" s="2437"/>
      <c r="E24" s="138"/>
      <c r="F24" s="138"/>
      <c r="G24" s="138"/>
      <c r="H24" s="138"/>
      <c r="I24" s="138"/>
    </row>
    <row r="25" spans="1:35" ht="14.25">
      <c r="A25" s="3161"/>
      <c r="B25" s="1247" t="s">
        <v>2147</v>
      </c>
      <c r="C25" s="150">
        <f>IF(B30=0,0,C30)</f>
        <v>0</v>
      </c>
      <c r="D25" s="2438"/>
      <c r="E25" s="138"/>
      <c r="F25" s="138"/>
      <c r="G25" s="138"/>
      <c r="H25" s="138"/>
      <c r="I25" s="138"/>
    </row>
    <row r="26" spans="1:35" ht="13.5" customHeight="1">
      <c r="A26" s="2439" t="s">
        <v>2152</v>
      </c>
      <c r="B26" s="151" t="s">
        <v>2153</v>
      </c>
      <c r="C26" s="151" t="s">
        <v>2154</v>
      </c>
      <c r="D26" s="152" t="s">
        <v>2155</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2156</v>
      </c>
      <c r="B30" s="151"/>
      <c r="C30" s="151"/>
      <c r="D30" s="151"/>
      <c r="E30" s="2911" t="s">
        <v>3032</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2157</v>
      </c>
      <c r="B32" s="2443"/>
      <c r="C32" s="153">
        <f ca="1">IF(D32="总价",G19-C24,G20-C25)</f>
        <v>155579</v>
      </c>
      <c r="D32" s="2444" t="s">
        <v>2158</v>
      </c>
      <c r="E32" s="138"/>
      <c r="F32" s="138"/>
      <c r="G32" s="138"/>
      <c r="H32" s="138"/>
      <c r="I32" s="138"/>
    </row>
    <row r="33" spans="1:15" ht="15">
      <c r="A33" s="957" t="s">
        <v>2159</v>
      </c>
      <c r="B33" s="2445"/>
      <c r="C33" s="2446" t="s">
        <v>3129</v>
      </c>
      <c r="D33" s="2447" t="s">
        <v>3088</v>
      </c>
      <c r="E33" s="2448" t="s">
        <v>2160</v>
      </c>
      <c r="F33" s="2449" t="str">
        <f>IF(D32="楼面单价","取值（单价）","取值（总价）")</f>
        <v>取值（总价）</v>
      </c>
      <c r="G33" s="138"/>
      <c r="H33" s="138"/>
      <c r="I33" s="138"/>
    </row>
    <row r="34" spans="1:15" ht="15">
      <c r="A34" s="2450"/>
      <c r="B34" s="2451" t="s">
        <v>2161</v>
      </c>
      <c r="C34" s="157">
        <f ca="1">IF(C33="自定义",F34,C32-C35)</f>
        <v>124463</v>
      </c>
      <c r="D34" s="1055">
        <f ca="1">IF(C33="自定义",ROUND(C34/C32,3),IF(C33="收益比率",SUMIF(INDIRECT("'"&amp;D33&amp;"'"&amp;"!b:b"),"土地收益比率",INDIRECT("'"&amp;D33&amp;"'"&amp;"!c:c")),SUMIF(INDIRECT("'"&amp;D33&amp;"'"&amp;"!b:b"),"土地成本比率",INDIRECT("'"&amp;D33&amp;"'"&amp;"!c:c"))))</f>
        <v>0.8</v>
      </c>
      <c r="E34" s="2452" t="s">
        <v>2162</v>
      </c>
      <c r="F34" s="1736"/>
      <c r="G34" s="138"/>
      <c r="H34" s="138"/>
      <c r="I34" s="138"/>
    </row>
    <row r="35" spans="1:15" ht="15.75" thickBot="1">
      <c r="A35" s="2453"/>
      <c r="B35" s="2454" t="s">
        <v>2163</v>
      </c>
      <c r="C35" s="1441">
        <f ca="1">IF(C33="自定义",F35,ROUND(C32*D35,0))</f>
        <v>31116</v>
      </c>
      <c r="D35" s="1442">
        <f ca="1">IF(C33="自定义",ROUND(C35/C32,3),IF(C33="收益比率",SUMIF(INDIRECT("'"&amp;D33&amp;"'"&amp;"!b:b"),"建筑物收益比率",INDIRECT("'"&amp;D33&amp;"'"&amp;"!c:c")),SUMIF(INDIRECT("'"&amp;D33&amp;"'"&amp;"!b:b"),"建筑物成本比率",INDIRECT("'"&amp;D33&amp;"'"&amp;"!c:c"))))</f>
        <v>0.2</v>
      </c>
      <c r="E35" s="2455" t="s">
        <v>2164</v>
      </c>
      <c r="F35" s="163"/>
      <c r="G35" s="138"/>
      <c r="H35" s="138"/>
      <c r="I35" s="138"/>
    </row>
    <row r="36" spans="1:15" ht="15.75" thickBot="1">
      <c r="A36" s="3140" t="s">
        <v>2165</v>
      </c>
      <c r="B36" s="2456" t="s">
        <v>2166</v>
      </c>
      <c r="C36" s="154"/>
      <c r="D36" s="2457"/>
      <c r="E36" s="2458"/>
      <c r="F36" s="2459"/>
      <c r="G36" s="138"/>
      <c r="H36" s="138"/>
      <c r="I36" s="138"/>
    </row>
    <row r="37" spans="1:15" ht="15.75" thickBot="1">
      <c r="A37" s="3141"/>
      <c r="B37" s="2262" t="s">
        <v>2167</v>
      </c>
      <c r="C37" s="156"/>
      <c r="D37" s="1392"/>
      <c r="E37" s="1392"/>
      <c r="F37" s="2459"/>
      <c r="G37" s="138"/>
      <c r="H37" s="138"/>
      <c r="I37" s="138"/>
    </row>
    <row r="38" spans="1:15" ht="15.75" thickBot="1">
      <c r="A38" s="3142"/>
      <c r="B38" s="2460" t="s">
        <v>2168</v>
      </c>
      <c r="C38" s="727"/>
      <c r="D38" s="2461" t="s">
        <v>2169</v>
      </c>
      <c r="E38" s="1392"/>
      <c r="F38" s="2459"/>
      <c r="G38" s="138"/>
      <c r="H38" s="138"/>
      <c r="I38" s="138"/>
    </row>
    <row r="39" spans="1:15" ht="15">
      <c r="A39" s="2432" t="s">
        <v>2170</v>
      </c>
      <c r="B39" s="2462" t="s">
        <v>2171</v>
      </c>
      <c r="C39" s="2463" t="s">
        <v>2172</v>
      </c>
      <c r="D39" s="2463" t="s">
        <v>2173</v>
      </c>
      <c r="E39" s="2464" t="s">
        <v>2174</v>
      </c>
      <c r="F39" s="2459"/>
      <c r="G39" s="138"/>
      <c r="H39" s="138"/>
      <c r="I39" s="138"/>
    </row>
    <row r="40" spans="1:15" ht="14.25">
      <c r="A40" s="2465" t="s">
        <v>2175</v>
      </c>
      <c r="B40" s="158"/>
      <c r="C40" s="159"/>
      <c r="D40" s="159"/>
      <c r="E40" s="160"/>
      <c r="F40" s="2459"/>
      <c r="G40" s="138"/>
      <c r="H40" s="138"/>
      <c r="I40" s="138"/>
    </row>
    <row r="41" spans="1:15" ht="14.25">
      <c r="A41" s="2465" t="s">
        <v>2176</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0"/>
      <c r="B43" s="2160"/>
      <c r="C43" s="2160"/>
      <c r="D43" s="2160"/>
      <c r="E43" s="2160"/>
      <c r="F43" s="2467"/>
      <c r="G43" s="2467"/>
      <c r="H43" s="2467"/>
      <c r="I43" s="2468"/>
    </row>
    <row r="44" spans="1:15" ht="18.75">
      <c r="A44" s="2469" t="s">
        <v>2177</v>
      </c>
      <c r="B44" s="2470"/>
      <c r="C44" s="2470"/>
      <c r="D44" s="2471"/>
      <c r="E44" s="2471"/>
      <c r="F44" s="2472"/>
      <c r="G44" s="2472"/>
      <c r="H44" s="2472"/>
      <c r="I44" s="2472"/>
      <c r="J44" s="2473" t="s">
        <v>2178</v>
      </c>
      <c r="K44" s="2474"/>
      <c r="L44" s="2474"/>
      <c r="M44" s="2474"/>
      <c r="N44" s="2474"/>
      <c r="O44" s="2474"/>
    </row>
    <row r="45" spans="1:15" ht="14.25" customHeight="1" thickBot="1">
      <c r="A45" s="3157" t="s">
        <v>2179</v>
      </c>
      <c r="B45" s="3158"/>
      <c r="C45" s="3159"/>
      <c r="D45" s="164">
        <f ca="1">ROUND(H101*F45,0)</f>
        <v>155579</v>
      </c>
      <c r="E45" s="165" t="s">
        <v>2180</v>
      </c>
      <c r="F45" s="166">
        <v>1</v>
      </c>
      <c r="G45" s="167" t="s">
        <v>2181</v>
      </c>
      <c r="H45" s="138"/>
      <c r="I45" s="138"/>
      <c r="J45" s="3076" t="s">
        <v>2182</v>
      </c>
      <c r="K45" s="3076"/>
      <c r="L45" s="3076"/>
      <c r="M45" s="3076"/>
      <c r="N45" s="3076"/>
      <c r="O45" s="3076"/>
    </row>
    <row r="46" spans="1:15" ht="14.25" customHeight="1">
      <c r="A46" s="3154" t="s">
        <v>2183</v>
      </c>
      <c r="B46" s="3155"/>
      <c r="C46" s="3155"/>
      <c r="D46" s="3155"/>
      <c r="E46" s="3155"/>
      <c r="F46" s="3155"/>
      <c r="G46" s="3156"/>
      <c r="H46" s="2475"/>
      <c r="I46" s="168"/>
      <c r="J46" s="1808">
        <v>1</v>
      </c>
      <c r="K46" s="3076" t="s">
        <v>2184</v>
      </c>
      <c r="L46" s="3076"/>
      <c r="M46" s="3077"/>
      <c r="N46" s="3077"/>
      <c r="O46" s="3077"/>
    </row>
    <row r="47" spans="1:15" ht="12" customHeight="1">
      <c r="A47" s="169" t="s">
        <v>2185</v>
      </c>
      <c r="B47" s="170"/>
      <c r="C47" s="171"/>
      <c r="D47" s="172" t="s">
        <v>2186</v>
      </c>
      <c r="E47" s="24" t="s">
        <v>2187</v>
      </c>
      <c r="F47" s="173" t="s">
        <v>2188</v>
      </c>
      <c r="G47" s="174" t="s">
        <v>2189</v>
      </c>
      <c r="H47" s="2475"/>
      <c r="I47" s="168"/>
      <c r="J47" s="1808">
        <v>2</v>
      </c>
      <c r="K47" s="3076" t="s">
        <v>2190</v>
      </c>
      <c r="L47" s="3076"/>
      <c r="M47" s="3078">
        <f>'数据-取费表'!B2</f>
        <v>43902</v>
      </c>
      <c r="N47" s="3078"/>
      <c r="O47" s="3078"/>
    </row>
    <row r="48" spans="1:15" ht="25.5">
      <c r="A48" s="3144" t="s">
        <v>2191</v>
      </c>
      <c r="B48" s="3145"/>
      <c r="C48" s="3145"/>
      <c r="D48" s="140">
        <f>IF(H48="情况1",0,IF(H48="情况2",D52,IF(H48="情况3",D53,IF(H48="情况4",D54))))</f>
        <v>0</v>
      </c>
      <c r="E48" s="1797" t="str">
        <f>IF(H48="情况4","(销售额-原购置价)×税（费）率","销售额×税（费）率")</f>
        <v>销售额×税（费）率</v>
      </c>
      <c r="F48" s="175" t="str">
        <f>IF(H48="情况1","免征",'数据-取费表'!B41)</f>
        <v>免征</v>
      </c>
      <c r="G48" s="2476" t="s">
        <v>2192</v>
      </c>
      <c r="H48" s="2477" t="s">
        <v>2193</v>
      </c>
      <c r="I48" s="2475"/>
      <c r="J48" s="1808">
        <v>3</v>
      </c>
      <c r="K48" s="3076" t="s">
        <v>2194</v>
      </c>
      <c r="L48" s="3076"/>
      <c r="M48" s="3079">
        <f ca="1">H101</f>
        <v>155579</v>
      </c>
      <c r="N48" s="3079"/>
      <c r="O48" s="3079"/>
    </row>
    <row r="49" spans="1:35" ht="25.5" customHeight="1">
      <c r="A49" s="176" t="s">
        <v>2195</v>
      </c>
      <c r="B49" s="3124" t="s">
        <v>2196</v>
      </c>
      <c r="C49" s="3124"/>
      <c r="D49" s="177">
        <v>0</v>
      </c>
      <c r="E49" s="23" t="s">
        <v>2197</v>
      </c>
      <c r="F49" s="28" t="s">
        <v>34</v>
      </c>
      <c r="G49" s="3105"/>
      <c r="H49" s="138"/>
      <c r="I49" s="2478"/>
      <c r="J49" s="1808">
        <v>4</v>
      </c>
      <c r="K49" s="3076" t="str">
        <f>IF(项目基本情况!E8="房地产抵押价值","房地产抵押价值","抵押担保权已注销时的房地产抵押价值")</f>
        <v>房地产抵押价值</v>
      </c>
      <c r="L49" s="3076"/>
      <c r="M49" s="3079">
        <f ca="1">IF(项目基本情况!E8="房地产抵押价值",H107,H109)</f>
        <v>155579</v>
      </c>
      <c r="N49" s="3079"/>
      <c r="O49" s="3079"/>
    </row>
    <row r="50" spans="1:35" ht="25.5" customHeight="1">
      <c r="A50" s="178"/>
      <c r="B50" s="3124" t="s">
        <v>2198</v>
      </c>
      <c r="C50" s="3124"/>
      <c r="D50" s="179"/>
      <c r="E50" s="31"/>
      <c r="F50" s="180"/>
      <c r="G50" s="3106"/>
      <c r="H50" s="138"/>
      <c r="I50" s="2478"/>
      <c r="J50" s="3076" t="s">
        <v>2199</v>
      </c>
      <c r="K50" s="3076"/>
      <c r="L50" s="3076"/>
      <c r="M50" s="3076"/>
      <c r="N50" s="3076"/>
      <c r="O50" s="3076"/>
    </row>
    <row r="51" spans="1:35" ht="12" customHeight="1">
      <c r="A51" s="181"/>
      <c r="B51" s="3124" t="s">
        <v>2200</v>
      </c>
      <c r="C51" s="3124"/>
      <c r="D51" s="182"/>
      <c r="E51" s="30"/>
      <c r="F51" s="180"/>
      <c r="G51" s="3107"/>
      <c r="H51" s="138"/>
      <c r="I51" s="2478"/>
      <c r="J51" s="2479" t="s">
        <v>2201</v>
      </c>
      <c r="K51" s="3076" t="s">
        <v>2202</v>
      </c>
      <c r="L51" s="3076"/>
      <c r="M51" s="2479" t="s">
        <v>2203</v>
      </c>
      <c r="N51" s="2479" t="s">
        <v>2204</v>
      </c>
      <c r="O51" s="2479" t="s">
        <v>2205</v>
      </c>
    </row>
    <row r="52" spans="1:35" ht="24" customHeight="1">
      <c r="A52" s="183" t="s">
        <v>2206</v>
      </c>
      <c r="B52" s="3124" t="s">
        <v>2207</v>
      </c>
      <c r="C52" s="3124"/>
      <c r="D52" s="182">
        <f ca="1">ROUND(D45*'数据-取费表'!B41/(1+'数据-取费表'!C42),0)</f>
        <v>8298</v>
      </c>
      <c r="E52" s="11" t="s">
        <v>2208</v>
      </c>
      <c r="F52" s="184">
        <f>'数据-取费表'!B41</f>
        <v>5.6000000000000001E-2</v>
      </c>
      <c r="G52" s="2480"/>
      <c r="H52" s="138"/>
      <c r="I52" s="2478"/>
      <c r="J52" s="1808">
        <v>1</v>
      </c>
      <c r="K52" s="3099" t="s">
        <v>2209</v>
      </c>
      <c r="L52" s="3099"/>
      <c r="M52" s="1751">
        <f>D48</f>
        <v>0</v>
      </c>
      <c r="N52" s="1808" t="str">
        <f>E48</f>
        <v>销售额×税（费）率</v>
      </c>
      <c r="O52" s="1752" t="str">
        <f>F48</f>
        <v>免征</v>
      </c>
    </row>
    <row r="53" spans="1:35" ht="12" customHeight="1">
      <c r="A53" s="183" t="s">
        <v>2210</v>
      </c>
      <c r="B53" s="3125" t="s">
        <v>2211</v>
      </c>
      <c r="C53" s="3126"/>
      <c r="D53" s="182">
        <f ca="1">ROUND(D45*'数据-取费表'!B41/(1+'数据-取费表'!C42),0)</f>
        <v>8298</v>
      </c>
      <c r="E53" s="11" t="s">
        <v>2208</v>
      </c>
      <c r="F53" s="184">
        <f>'数据-取费表'!B41</f>
        <v>5.6000000000000001E-2</v>
      </c>
      <c r="G53" s="2480"/>
      <c r="H53" s="138"/>
      <c r="I53" s="2478"/>
      <c r="J53" s="1808">
        <v>2</v>
      </c>
      <c r="K53" s="3099" t="s">
        <v>2212</v>
      </c>
      <c r="L53" s="3099"/>
      <c r="M53" s="1751">
        <f t="shared" ref="M53:O54" ca="1" si="0">D55</f>
        <v>78</v>
      </c>
      <c r="N53" s="1808" t="str">
        <f t="shared" si="0"/>
        <v>销售额×税（费）率</v>
      </c>
      <c r="O53" s="1752">
        <f t="shared" si="0"/>
        <v>5.0000000000000001E-4</v>
      </c>
    </row>
    <row r="54" spans="1:35" ht="12" customHeight="1">
      <c r="A54" s="183" t="s">
        <v>2213</v>
      </c>
      <c r="B54" s="3125" t="s">
        <v>2214</v>
      </c>
      <c r="C54" s="3126"/>
      <c r="D54" s="182">
        <f ca="1">C68</f>
        <v>8298</v>
      </c>
      <c r="E54" s="30" t="s">
        <v>2215</v>
      </c>
      <c r="F54" s="184">
        <f>'数据-取费表'!B41</f>
        <v>5.6000000000000001E-2</v>
      </c>
      <c r="G54" s="2480"/>
      <c r="H54" s="2481"/>
      <c r="I54" s="2478"/>
      <c r="J54" s="1808">
        <v>3</v>
      </c>
      <c r="K54" s="3099" t="s">
        <v>2216</v>
      </c>
      <c r="L54" s="3099"/>
      <c r="M54" s="1751">
        <f t="shared" ca="1" si="0"/>
        <v>88057</v>
      </c>
      <c r="N54" s="1808" t="str">
        <f t="shared" si="0"/>
        <v>增值额×税（费）率</v>
      </c>
      <c r="O54" s="1753" t="str">
        <f t="shared" si="0"/>
        <v>——</v>
      </c>
    </row>
    <row r="55" spans="1:35" ht="24" customHeight="1">
      <c r="A55" s="3163" t="s">
        <v>2217</v>
      </c>
      <c r="B55" s="3145"/>
      <c r="C55" s="3145"/>
      <c r="D55" s="185">
        <f ca="1">IF(H55="个人住宅",0,ROUND(D45*I55,0))</f>
        <v>78</v>
      </c>
      <c r="E55" s="11" t="s">
        <v>2218</v>
      </c>
      <c r="F55" s="184">
        <f>IF(H55="正常",I55,"免征")</f>
        <v>5.0000000000000001E-4</v>
      </c>
      <c r="G55" s="2480"/>
      <c r="H55" s="2477" t="s">
        <v>2219</v>
      </c>
      <c r="I55" s="186">
        <f>'数据-取费表'!B49</f>
        <v>5.0000000000000001E-4</v>
      </c>
      <c r="J55" s="1808" t="str">
        <f>IF(H59="非个人房产","",4)</f>
        <v/>
      </c>
      <c r="K55" s="3099" t="str">
        <f>IF(H59="非个人房产","——","个人所得税")</f>
        <v>——</v>
      </c>
      <c r="L55" s="3099"/>
      <c r="M55" s="1754" t="str">
        <f>D59</f>
        <v>——</v>
      </c>
      <c r="N55" s="1806" t="str">
        <f>E59</f>
        <v>——</v>
      </c>
      <c r="O55" s="1755" t="str">
        <f>F59</f>
        <v>——</v>
      </c>
    </row>
    <row r="56" spans="1:35" ht="24.75">
      <c r="A56" s="3163" t="s">
        <v>2220</v>
      </c>
      <c r="B56" s="3145"/>
      <c r="C56" s="3145"/>
      <c r="D56" s="185">
        <f ca="1">IF(H56="个人住宅",D57,D58)</f>
        <v>88057</v>
      </c>
      <c r="E56" s="11" t="s">
        <v>2221</v>
      </c>
      <c r="F56" s="184" t="str">
        <f>IF(H56="正常",F58,"免征")</f>
        <v>——</v>
      </c>
      <c r="G56" s="2482" t="s">
        <v>2222</v>
      </c>
      <c r="H56" s="2483" t="s">
        <v>2219</v>
      </c>
      <c r="I56" s="2484"/>
      <c r="J56" s="1808" t="str">
        <f>IF(项目基本情况!K6="上海银行",IF(J55="",4,J55+1),"")</f>
        <v/>
      </c>
      <c r="K56" s="3082" t="str">
        <f>IF(项目基本情况!K6="上海银行","其他处置费用","")</f>
        <v/>
      </c>
      <c r="L56" s="3083"/>
      <c r="M56" s="1751" t="str">
        <f>IF(项目基本情况!K6="上海银行",M69,"")</f>
        <v/>
      </c>
      <c r="N56" s="3085" t="str">
        <f>IF(项目基本情况!K6="上海银行","包含处置中涉及的律师、诉讼、拍卖、评估等费用","")</f>
        <v/>
      </c>
      <c r="O56" s="3086"/>
    </row>
    <row r="57" spans="1:35" ht="12.75">
      <c r="A57" s="183" t="s">
        <v>2195</v>
      </c>
      <c r="B57" s="3130" t="s">
        <v>2223</v>
      </c>
      <c r="C57" s="3131"/>
      <c r="D57" s="187">
        <v>0</v>
      </c>
      <c r="E57" s="23" t="s">
        <v>2197</v>
      </c>
      <c r="F57" s="155"/>
      <c r="G57" s="2480"/>
      <c r="H57" s="2484"/>
      <c r="I57" s="2484"/>
      <c r="J57" s="3099">
        <f>IF(AND(J55="",J56=""),4,IF(项目基本情况!K6="上海银行",结果表!J56+1,结果表!J55+1))</f>
        <v>4</v>
      </c>
      <c r="K57" s="3099" t="s">
        <v>2224</v>
      </c>
      <c r="L57" s="2485" t="s">
        <v>2225</v>
      </c>
      <c r="M57" s="1756"/>
      <c r="N57" s="1757">
        <f ca="1">SUMIF(M52:M56,"&lt;9e307")</f>
        <v>88135</v>
      </c>
      <c r="O57" s="2486"/>
      <c r="P57" s="1750">
        <f ca="1">N57/M49</f>
        <v>0.56649676370204205</v>
      </c>
    </row>
    <row r="58" spans="1:35" ht="24.75">
      <c r="A58" s="183" t="s">
        <v>2206</v>
      </c>
      <c r="B58" s="3130" t="s">
        <v>2226</v>
      </c>
      <c r="C58" s="3143"/>
      <c r="D58" s="185">
        <f ca="1">IF(H58="转让取得",C81,C97)</f>
        <v>88057</v>
      </c>
      <c r="E58" s="11" t="s">
        <v>2221</v>
      </c>
      <c r="F58" s="24" t="s">
        <v>34</v>
      </c>
      <c r="G58" s="2480"/>
      <c r="H58" s="2483" t="s">
        <v>2227</v>
      </c>
      <c r="I58" s="2484"/>
      <c r="J58" s="3099"/>
      <c r="K58" s="3099"/>
      <c r="L58" s="2485" t="s">
        <v>2228</v>
      </c>
      <c r="M58" s="1758"/>
      <c r="N58" s="2487" t="str">
        <f ca="1">NUMBERSTRING(INT(N57*10000),2)&amp;"元整"</f>
        <v>捌亿捌仟壹佰叁拾伍万元整</v>
      </c>
      <c r="O58" s="2488"/>
    </row>
    <row r="59" spans="1:35" ht="24.75" thickBot="1">
      <c r="A59" s="3103" t="s">
        <v>2229</v>
      </c>
      <c r="B59" s="3104"/>
      <c r="C59" s="3104"/>
      <c r="D59" s="188" t="str">
        <f>IF(H59="非个人房产","——",IF(H59="个人住宅",0,ROUND(D45*I59,0)))</f>
        <v>——</v>
      </c>
      <c r="E59" s="189" t="str">
        <f>IF(H59="非个人房产","——","销售额×税（费）率")</f>
        <v>——</v>
      </c>
      <c r="F59" s="190" t="str">
        <f>IF(H59="非个人房产","——",IF(H59="个人住宅","免征",I59))</f>
        <v>——</v>
      </c>
      <c r="G59" s="2489" t="s">
        <v>2222</v>
      </c>
      <c r="H59" s="2483" t="s">
        <v>2230</v>
      </c>
      <c r="I59" s="191">
        <v>0.01</v>
      </c>
      <c r="J59" s="3101">
        <f>J57+1</f>
        <v>5</v>
      </c>
      <c r="K59" s="3099" t="s">
        <v>2231</v>
      </c>
      <c r="L59" s="1808" t="s">
        <v>2225</v>
      </c>
      <c r="M59" s="1759"/>
      <c r="N59" s="1760">
        <f ca="1">M49-N57</f>
        <v>67444</v>
      </c>
      <c r="O59" s="2490"/>
    </row>
    <row r="60" spans="1:35" ht="12" customHeight="1">
      <c r="A60" s="2491"/>
      <c r="B60" s="2413"/>
      <c r="C60" s="2413"/>
      <c r="D60" s="2413"/>
      <c r="E60" s="2161"/>
      <c r="F60" s="2484"/>
      <c r="G60" s="2484"/>
      <c r="H60" s="2492"/>
      <c r="I60" s="138"/>
      <c r="J60" s="3102"/>
      <c r="K60" s="3099"/>
      <c r="L60" s="2485" t="s">
        <v>2228</v>
      </c>
      <c r="M60" s="1758"/>
      <c r="N60" s="2487" t="str">
        <f ca="1">NUMBERSTRING(INT(N59*10000),2)&amp;"元整"</f>
        <v>陆亿柒仟肆佰肆拾肆万元整</v>
      </c>
      <c r="O60" s="2488"/>
    </row>
    <row r="61" spans="1:35" ht="13.5" thickBot="1">
      <c r="A61" s="3162" t="s">
        <v>2232</v>
      </c>
      <c r="B61" s="3162"/>
      <c r="C61" s="3162"/>
      <c r="D61" s="3162"/>
      <c r="E61" s="3162"/>
      <c r="F61" s="2484"/>
      <c r="G61" s="2484"/>
      <c r="H61" s="2492"/>
      <c r="I61" s="138"/>
      <c r="J61" s="1808">
        <f>J59+1</f>
        <v>6</v>
      </c>
      <c r="K61" s="3099" t="s">
        <v>2233</v>
      </c>
      <c r="L61" s="3099"/>
      <c r="M61" s="1761"/>
      <c r="N61" s="1762">
        <f ca="1">ROUND(N59*10000/'数据-汇总表'!E3,0)</f>
        <v>13140</v>
      </c>
      <c r="O61" s="2493"/>
    </row>
    <row r="62" spans="1:35" ht="12.75">
      <c r="A62" s="3119" t="s">
        <v>2234</v>
      </c>
      <c r="B62" s="3120"/>
      <c r="C62" s="1800"/>
      <c r="D62" s="1800" t="s">
        <v>2235</v>
      </c>
      <c r="E62" s="192" t="s">
        <v>2236</v>
      </c>
      <c r="F62" s="2484"/>
      <c r="G62" s="2484"/>
      <c r="H62" s="2492"/>
      <c r="I62" s="138"/>
    </row>
    <row r="63" spans="1:35" ht="12.75">
      <c r="A63" s="203" t="s">
        <v>775</v>
      </c>
      <c r="B63" s="193" t="s">
        <v>2237</v>
      </c>
      <c r="C63" s="194">
        <f ca="1">ROUND((C64+C65)/(1+'数据-取费表'!C42),0)</f>
        <v>148170</v>
      </c>
      <c r="D63" s="195"/>
      <c r="E63" s="196"/>
      <c r="F63" s="2484"/>
      <c r="G63" s="2484"/>
      <c r="H63" s="2492"/>
      <c r="I63" s="138"/>
      <c r="J63" s="3084" t="s">
        <v>2238</v>
      </c>
      <c r="K63" s="2494" t="s">
        <v>2239</v>
      </c>
      <c r="L63" s="1749">
        <f ca="1">IF(M49&gt;10000,M49*0.5%,IF(AND(M49&gt;1000,M49&lt;=10000),M49*1%,IF(AND(M49&gt;100,M49&lt;=1000),M49*3%,IF(AND(M49&gt;10,M49&lt;=100),M49*5%,M49*8%))))</f>
        <v>777.89499999999998</v>
      </c>
      <c r="M63" s="24">
        <f ca="1">ROUND(L63,1)</f>
        <v>777.9</v>
      </c>
      <c r="Z63" s="2418"/>
      <c r="AI63" s="2419"/>
    </row>
    <row r="64" spans="1:35" ht="14.25" customHeight="1">
      <c r="A64" s="197" t="s">
        <v>770</v>
      </c>
      <c r="B64" s="198" t="s">
        <v>2240</v>
      </c>
      <c r="C64" s="199">
        <f ca="1">D45</f>
        <v>155579</v>
      </c>
      <c r="D64" s="200" t="s">
        <v>32</v>
      </c>
      <c r="E64" s="201"/>
      <c r="F64" s="2484"/>
      <c r="G64" s="2484"/>
      <c r="H64" s="2492"/>
      <c r="I64" s="138"/>
      <c r="J64" s="3084"/>
      <c r="K64" s="2494" t="s">
        <v>2241</v>
      </c>
      <c r="L64" s="1749">
        <f ca="1">IF(M49&gt;2000,M49*0.5%,IF(AND(M49&gt;1000,M49&lt;=2000),M49*0.6%,IF(AND(M49&gt;500,M49&lt;=1000),M49*0.7%,IF(AND(M49&gt;200,M49&lt;=500),M49*0.8%,IF(AND(M49&gt;100,M49&lt;=200),M49*0.9%,IF(AND(M49&gt;50,M49&lt;=100),M49*1%,IF(AND(M49&gt;20,M49&lt;=50),M49*1.5%,IF(AND(M49&gt;10,M49&lt;=20),M49*2%,IF(AND(M49&gt;1,M49&lt;=10),M49*2.5%)))))))))</f>
        <v>777.89499999999998</v>
      </c>
      <c r="M64" s="24">
        <f t="shared" ref="M64:M65" ca="1" si="1">ROUND(L64,1)</f>
        <v>777.9</v>
      </c>
      <c r="N64" s="138" t="s">
        <v>2242</v>
      </c>
      <c r="Z64" s="2418"/>
      <c r="AI64" s="2419"/>
    </row>
    <row r="65" spans="1:35" ht="14.25" customHeight="1">
      <c r="A65" s="197" t="s">
        <v>771</v>
      </c>
      <c r="B65" s="198" t="s">
        <v>2243</v>
      </c>
      <c r="C65" s="202"/>
      <c r="D65" s="200"/>
      <c r="E65" s="201"/>
      <c r="F65" s="2484"/>
      <c r="G65" s="2484"/>
      <c r="H65" s="2492"/>
      <c r="I65" s="138"/>
      <c r="J65" s="3084"/>
      <c r="K65" s="2494" t="s">
        <v>2244</v>
      </c>
      <c r="L65" s="1749">
        <f ca="1">IF(M49&gt;1000,M49*0.1%,IF(AND(M49&gt;500,M49&lt;=1000),M49*0.5%,IF(AND(M49&gt;50,M49&lt;=500),M49*1%,IF(AND(M49&gt;1,M49&lt;=50),M49*1.5%))))</f>
        <v>155.57900000000001</v>
      </c>
      <c r="M65" s="24">
        <f t="shared" ca="1" si="1"/>
        <v>155.6</v>
      </c>
      <c r="N65" s="138" t="s">
        <v>2242</v>
      </c>
      <c r="Z65" s="2418"/>
      <c r="AI65" s="2419"/>
    </row>
    <row r="66" spans="1:35" ht="14.25" customHeight="1">
      <c r="A66" s="203" t="s">
        <v>772</v>
      </c>
      <c r="B66" s="204" t="s">
        <v>2245</v>
      </c>
      <c r="C66" s="205"/>
      <c r="D66" s="206" t="s">
        <v>32</v>
      </c>
      <c r="E66" s="1772" t="s">
        <v>1366</v>
      </c>
      <c r="F66" s="2484"/>
      <c r="G66" s="2484"/>
      <c r="H66" s="2492"/>
      <c r="I66" s="138"/>
      <c r="J66" s="3084"/>
      <c r="K66" s="2494" t="s">
        <v>2246</v>
      </c>
      <c r="L66" s="1749">
        <f ca="1">M49*0.5%</f>
        <v>777.89499999999998</v>
      </c>
      <c r="M66" s="24">
        <f ca="1">IF(L66&gt;0.5,0.5,ROUND(L66,0))</f>
        <v>0.5</v>
      </c>
      <c r="N66" s="138" t="s">
        <v>2247</v>
      </c>
      <c r="Z66" s="2418"/>
      <c r="AI66" s="2419"/>
    </row>
    <row r="67" spans="1:35" ht="14.25" customHeight="1">
      <c r="A67" s="203" t="s">
        <v>773</v>
      </c>
      <c r="B67" s="204" t="s">
        <v>2248</v>
      </c>
      <c r="C67" s="207">
        <f ca="1">C63-C66</f>
        <v>148170</v>
      </c>
      <c r="D67" s="200" t="s">
        <v>32</v>
      </c>
      <c r="E67" s="201"/>
      <c r="F67" s="2484"/>
      <c r="G67" s="2484"/>
      <c r="H67" s="2492"/>
      <c r="I67" s="138"/>
      <c r="J67" s="3084"/>
      <c r="K67" s="2494" t="s">
        <v>2249</v>
      </c>
      <c r="L67" s="1749">
        <f ca="1">IF(M49&gt;=10000,(8.25+(M49-10000)*0.01%),IF(AND(M49&gt;=8000,M49&lt;10000),(7.85+(M49-8000)*0.02%),IF(AND(M49&gt;=5000,M49&lt;8000),(6.65+(M49-5000)*0.04%),IF(AND(M49&gt;=2000,M49&lt;5000),(4.25+(PM49-2000)*0.08%),IF(AND(M49&gt;=1000,M49&lt;2000),(2.75+(M49-1000)*0.15%),IF(AND(M49&gt;=100,M49&lt;1000),(0.5+(M49-100)*0.25%),IF(AND(M49&gt;0,M49&lt;100),M49*0.5%)))))))</f>
        <v>22.8079</v>
      </c>
      <c r="M67" s="24">
        <f ca="1">ROUND(L67*0.9,1)</f>
        <v>20.5</v>
      </c>
      <c r="Z67" s="2418"/>
      <c r="AI67" s="2419"/>
    </row>
    <row r="68" spans="1:35" ht="14.25" customHeight="1" thickBot="1">
      <c r="A68" s="208" t="s">
        <v>774</v>
      </c>
      <c r="B68" s="209" t="s">
        <v>2250</v>
      </c>
      <c r="C68" s="210">
        <f ca="1">IF(C67&lt;=0,0,ROUND(C67*D68,0))</f>
        <v>8298</v>
      </c>
      <c r="D68" s="211">
        <f>'数据-取费表'!B41</f>
        <v>5.6000000000000001E-2</v>
      </c>
      <c r="E68" s="212"/>
      <c r="F68" s="2484"/>
      <c r="G68" s="2484"/>
      <c r="H68" s="2492"/>
      <c r="I68" s="138"/>
      <c r="J68" s="3084"/>
      <c r="K68" s="2494" t="s">
        <v>2251</v>
      </c>
      <c r="L68" s="1749">
        <f ca="1">IF(M49&gt;10000,M49*0.5%,IF(AND(M49&gt;5000,M49&lt;=10000),M49*1%,IF(AND(M49&gt;1000,M49&lt;=5000),M49*2%,IF(AND(M49&gt;200,M49&lt;=1000),M49*3%,M49*5%))))</f>
        <v>777.89499999999998</v>
      </c>
      <c r="M68" s="24">
        <f ca="1">ROUND(L68,1)</f>
        <v>777.9</v>
      </c>
      <c r="Z68" s="2418"/>
      <c r="AI68" s="2419"/>
    </row>
    <row r="69" spans="1:35" s="2441" customFormat="1" ht="16.5" customHeight="1">
      <c r="A69" s="2495"/>
      <c r="B69" s="2496"/>
      <c r="C69" s="2497"/>
      <c r="D69" s="2498"/>
      <c r="E69" s="2499"/>
      <c r="F69" s="2161"/>
      <c r="G69" s="2161"/>
      <c r="H69" s="2160"/>
      <c r="I69" s="2413"/>
      <c r="J69" s="3084"/>
      <c r="K69" s="2494" t="s">
        <v>2252</v>
      </c>
      <c r="L69" s="2500"/>
      <c r="M69" s="24">
        <f ca="1">ROUND(SUM(M63:M68),0)</f>
        <v>2510</v>
      </c>
      <c r="N69" s="1750">
        <f ca="1">M69/M49</f>
        <v>1.6133282769525449E-2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128" t="s">
        <v>2253</v>
      </c>
      <c r="B70" s="3129"/>
      <c r="C70" s="3129"/>
      <c r="D70" s="3129"/>
      <c r="E70" s="3129"/>
      <c r="F70" s="3129"/>
      <c r="G70" s="3129"/>
      <c r="H70" s="3129"/>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19" t="s">
        <v>2234</v>
      </c>
      <c r="B71" s="3120"/>
      <c r="C71" s="1800"/>
      <c r="D71" s="1800" t="s">
        <v>2235</v>
      </c>
      <c r="E71" s="213" t="s">
        <v>2236</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2254</v>
      </c>
      <c r="C72" s="207">
        <f ca="1">ROUND(D45/(1+'数据-取费表'!C42),0)</f>
        <v>148170</v>
      </c>
      <c r="D72" s="200" t="s">
        <v>32</v>
      </c>
      <c r="E72" s="1799"/>
      <c r="F72" s="1793"/>
      <c r="G72" s="1793"/>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2255</v>
      </c>
      <c r="C73" s="207">
        <f ca="1">C74+C78</f>
        <v>889</v>
      </c>
      <c r="D73" s="200" t="s">
        <v>32</v>
      </c>
      <c r="E73" s="1799"/>
      <c r="F73" s="1793"/>
      <c r="G73" s="1793"/>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2256</v>
      </c>
      <c r="C74" s="200">
        <f>ROUND(IF(G77="2016年5月1日后购买",C75/(1+'数据-取费表'!C42)+C76+C77,C75+C76+C77),0)</f>
        <v>0</v>
      </c>
      <c r="D74" s="200" t="s">
        <v>32</v>
      </c>
      <c r="E74" s="1799"/>
      <c r="F74" s="1793"/>
      <c r="G74" s="1793"/>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2257</v>
      </c>
      <c r="C75" s="218"/>
      <c r="D75" s="200" t="s">
        <v>32</v>
      </c>
      <c r="E75" s="219" t="s">
        <v>2258</v>
      </c>
      <c r="F75" s="2506" t="s">
        <v>2259</v>
      </c>
      <c r="G75" s="219" t="s">
        <v>2260</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2261</v>
      </c>
      <c r="C76" s="200">
        <f>IF(F75="购房发票",ROUND(C75*H75*D76,0),0)</f>
        <v>0</v>
      </c>
      <c r="D76" s="222">
        <v>0.05</v>
      </c>
      <c r="E76" s="3125" t="s">
        <v>2262</v>
      </c>
      <c r="F76" s="3124"/>
      <c r="G76" s="3124"/>
      <c r="H76" s="3127"/>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08" t="s">
        <v>2265</v>
      </c>
      <c r="H77" s="1804"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2266</v>
      </c>
      <c r="C78" s="225">
        <f ca="1">ROUND(D45*D78/(1+'数据-取费表'!C42),0)</f>
        <v>889</v>
      </c>
      <c r="D78" s="226">
        <f>'数据-取费表'!B43</f>
        <v>6.000000000000001E-3</v>
      </c>
      <c r="E78" s="3116" t="s">
        <v>2267</v>
      </c>
      <c r="F78" s="3117"/>
      <c r="G78" s="3117"/>
      <c r="H78" s="3118"/>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2268</v>
      </c>
      <c r="C79" s="207">
        <f ca="1">C72-C73</f>
        <v>147281</v>
      </c>
      <c r="D79" s="200" t="s">
        <v>32</v>
      </c>
      <c r="E79" s="1799"/>
      <c r="F79" s="1793"/>
      <c r="G79" s="1793"/>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2269</v>
      </c>
      <c r="C80" s="227">
        <f ca="1">IF(C79&lt;=0,0,C79/C73)</f>
        <v>165.67041619797524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2270</v>
      </c>
      <c r="C81" s="228">
        <f ca="1">ROUND(IF(C79&lt;=0,0,IF(C80&gt;=200%,C79*60%-C73*35%,IF(C80&gt;=100%,C79*50%-C73*15%,IF(C80&gt;=50%,C79*40%-C73*5%,IF(C80&lt;50%,C79*30%,0))))),0)</f>
        <v>88057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28" t="s">
        <v>2271</v>
      </c>
      <c r="B83" s="3129"/>
      <c r="C83" s="3129"/>
      <c r="D83" s="3129"/>
      <c r="E83" s="3129"/>
      <c r="F83" s="3129"/>
      <c r="G83" s="3129"/>
      <c r="H83" s="3129"/>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19" t="s">
        <v>2234</v>
      </c>
      <c r="B84" s="3120"/>
      <c r="C84" s="1800"/>
      <c r="D84" s="1800" t="s">
        <v>2235</v>
      </c>
      <c r="E84" s="213" t="s">
        <v>2236</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2254</v>
      </c>
      <c r="C85" s="207">
        <f ca="1">ROUND(D45/(1+'数据-取费表'!C42),0)</f>
        <v>148170</v>
      </c>
      <c r="D85" s="200" t="s">
        <v>32</v>
      </c>
      <c r="E85" s="1799"/>
      <c r="F85" s="1793"/>
      <c r="G85" s="1793"/>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2255</v>
      </c>
      <c r="C86" s="207">
        <f ca="1">IF(H88="仅含出让金",C87+C90+C91+C92+C93+C94,C87+C91+C92+C93+C94)</f>
        <v>889</v>
      </c>
      <c r="D86" s="235"/>
      <c r="E86" s="1799"/>
      <c r="F86" s="1793"/>
      <c r="G86" s="1793"/>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2272</v>
      </c>
      <c r="C87" s="225">
        <f>C88+C89</f>
        <v>0</v>
      </c>
      <c r="D87" s="226"/>
      <c r="E87" s="1795"/>
      <c r="F87" s="1796"/>
      <c r="G87" s="1796"/>
      <c r="H87" s="179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2273</v>
      </c>
      <c r="C88" s="236"/>
      <c r="D88" s="226"/>
      <c r="E88" s="237" t="s">
        <v>2274</v>
      </c>
      <c r="F88" s="1796"/>
      <c r="G88" s="238" t="s">
        <v>2275</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2263</v>
      </c>
      <c r="C89" s="225">
        <f>ROUND(C88*D89,0)</f>
        <v>0</v>
      </c>
      <c r="D89" s="226">
        <f>'数据-取费表'!B48+'数据-取费表'!B49</f>
        <v>3.0499999999999999E-2</v>
      </c>
      <c r="E89" s="237" t="s">
        <v>2276</v>
      </c>
      <c r="F89" s="1796"/>
      <c r="G89" s="1796"/>
      <c r="H89" s="179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2277</v>
      </c>
      <c r="C90" s="236"/>
      <c r="D90" s="226"/>
      <c r="E90" s="237" t="str">
        <f>IF(H88="-","土地取得成本中已包含该笔费用"," ")</f>
        <v xml:space="preserve"> </v>
      </c>
      <c r="F90" s="1796"/>
      <c r="G90" s="1796"/>
      <c r="H90" s="179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2278</v>
      </c>
      <c r="B91" s="198" t="s">
        <v>2279</v>
      </c>
      <c r="C91" s="225">
        <f>IF(H91="——",成本法!C33,I91)</f>
        <v>0</v>
      </c>
      <c r="D91" s="226"/>
      <c r="E91" s="3116" t="s">
        <v>2280</v>
      </c>
      <c r="F91" s="3117"/>
      <c r="G91" s="3117"/>
      <c r="H91" s="2513" t="s">
        <v>2281</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2282</v>
      </c>
      <c r="B92" s="198" t="s">
        <v>2283</v>
      </c>
      <c r="C92" s="225">
        <f>ROUND((C87+C90+C91)*D92,0)</f>
        <v>0</v>
      </c>
      <c r="D92" s="226">
        <v>0.1</v>
      </c>
      <c r="E92" s="3116" t="s">
        <v>2284</v>
      </c>
      <c r="F92" s="3117"/>
      <c r="G92" s="3117"/>
      <c r="H92" s="3118"/>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2285</v>
      </c>
      <c r="B93" s="198" t="s">
        <v>2266</v>
      </c>
      <c r="C93" s="225">
        <f ca="1">ROUND(D45*D93/(1+'数据-取费表'!C42),0)</f>
        <v>889</v>
      </c>
      <c r="D93" s="226">
        <f>'数据-取费表'!B43</f>
        <v>6.000000000000001E-3</v>
      </c>
      <c r="E93" s="3116" t="s">
        <v>2267</v>
      </c>
      <c r="F93" s="3117"/>
      <c r="G93" s="3117"/>
      <c r="H93" s="3118"/>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2286</v>
      </c>
      <c r="B94" s="198" t="s">
        <v>2287</v>
      </c>
      <c r="C94" s="236">
        <f>ROUND((C87+C90+C91)*D94,0)</f>
        <v>0</v>
      </c>
      <c r="D94" s="226">
        <v>0.2</v>
      </c>
      <c r="E94" s="3164" t="s">
        <v>2288</v>
      </c>
      <c r="F94" s="3165"/>
      <c r="G94" s="3165"/>
      <c r="H94" s="3166"/>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2268</v>
      </c>
      <c r="C95" s="207">
        <f ca="1">ROUND(C85-C86,0)</f>
        <v>147281</v>
      </c>
      <c r="D95" s="200" t="s">
        <v>32</v>
      </c>
      <c r="E95" s="1799"/>
      <c r="F95" s="1793"/>
      <c r="G95" s="1793"/>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2269</v>
      </c>
      <c r="C96" s="227">
        <f ca="1">IF(C95&lt;=0,0,C95/C86)</f>
        <v>165.67041619797524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2270</v>
      </c>
      <c r="C97" s="228">
        <f ca="1">ROUND(IF(C95&lt;=0,0,IF(C96&gt;=200%,C95*60%-C86*35%,IF(C96&gt;=100%,C95*50%-C86*15%,IF(C96&gt;=50%,C95*40%-C86*5%,IF(C96&lt;50%,C95*30%,0))))),0)</f>
        <v>88057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8"/>
    </row>
    <row r="99" spans="1:35" ht="21.75" customHeight="1" thickBot="1">
      <c r="A99" s="2469" t="s">
        <v>2289</v>
      </c>
      <c r="B99" s="2413"/>
      <c r="C99" s="2413"/>
      <c r="D99" s="2413"/>
      <c r="E99" s="2161"/>
      <c r="F99" s="2161"/>
      <c r="G99" s="2161"/>
      <c r="H99" s="2160"/>
      <c r="I99" s="138"/>
    </row>
    <row r="100" spans="1:35" ht="18.75" customHeight="1">
      <c r="A100" s="3068" t="s">
        <v>2290</v>
      </c>
      <c r="B100" s="3069"/>
      <c r="C100" s="3069"/>
      <c r="D100" s="3100"/>
      <c r="E100" s="3069" t="s">
        <v>2291</v>
      </c>
      <c r="F100" s="3069"/>
      <c r="G100" s="3069"/>
      <c r="H100" s="3100"/>
      <c r="I100" s="138"/>
    </row>
    <row r="101" spans="1:35" ht="18.75" customHeight="1">
      <c r="A101" s="3108" t="s">
        <v>2292</v>
      </c>
      <c r="B101" s="3109"/>
      <c r="C101" s="736" t="str">
        <f>C4</f>
        <v>成本法</v>
      </c>
      <c r="D101" s="737" t="str">
        <f>D4</f>
        <v>收益法</v>
      </c>
      <c r="E101" s="3080" t="s">
        <v>2293</v>
      </c>
      <c r="F101" s="3081"/>
      <c r="G101" s="2515" t="s">
        <v>2294</v>
      </c>
      <c r="H101" s="1045">
        <f ca="1">H118</f>
        <v>155579</v>
      </c>
      <c r="I101" s="138"/>
    </row>
    <row r="102" spans="1:35" ht="18.75" customHeight="1">
      <c r="A102" s="3110" t="s">
        <v>2295</v>
      </c>
      <c r="B102" s="2515" t="s">
        <v>2294</v>
      </c>
      <c r="C102" s="736">
        <f ca="1">C19</f>
        <v>215772</v>
      </c>
      <c r="D102" s="737">
        <f ca="1">D19</f>
        <v>115451</v>
      </c>
      <c r="E102" s="3080"/>
      <c r="F102" s="3081"/>
      <c r="G102" s="2515" t="s">
        <v>2296</v>
      </c>
      <c r="H102" s="371">
        <f ca="1">I118</f>
        <v>30310</v>
      </c>
      <c r="I102" s="138"/>
    </row>
    <row r="103" spans="1:35" ht="42.75" customHeight="1">
      <c r="A103" s="3110"/>
      <c r="B103" s="2515" t="s">
        <v>2296</v>
      </c>
      <c r="C103" s="738">
        <f ca="1">C20</f>
        <v>42037</v>
      </c>
      <c r="D103" s="739">
        <f ca="1">D20</f>
        <v>22493</v>
      </c>
      <c r="E103" s="3074" t="s">
        <v>2297</v>
      </c>
      <c r="F103" s="3075"/>
      <c r="G103" s="2516" t="s">
        <v>2298</v>
      </c>
      <c r="H103" s="1045">
        <f>IF(D36="正常操作",H104+H105+H106,H105+H106)</f>
        <v>0</v>
      </c>
      <c r="I103" s="138"/>
    </row>
    <row r="104" spans="1:35" ht="18.75" customHeight="1">
      <c r="A104" s="3110" t="s">
        <v>2299</v>
      </c>
      <c r="B104" s="2517" t="s">
        <v>2294</v>
      </c>
      <c r="C104" s="740">
        <f ca="1">H118</f>
        <v>155579</v>
      </c>
      <c r="D104" s="741"/>
      <c r="E104" s="2262" t="s">
        <v>2300</v>
      </c>
      <c r="F104" s="2253"/>
      <c r="G104" s="2516" t="s">
        <v>2298</v>
      </c>
      <c r="H104" s="1046">
        <f>IF(D36="同一抵押权人同一抵押物续贷",C36&amp;"（未扣减，详见特别提示）",C36)</f>
        <v>0</v>
      </c>
      <c r="I104" s="138"/>
    </row>
    <row r="105" spans="1:35" ht="18.75" customHeight="1" thickBot="1">
      <c r="A105" s="3122"/>
      <c r="B105" s="2518" t="s">
        <v>2296</v>
      </c>
      <c r="C105" s="742">
        <f ca="1">I118</f>
        <v>30310</v>
      </c>
      <c r="D105" s="743"/>
      <c r="E105" s="2262" t="s">
        <v>2301</v>
      </c>
      <c r="F105" s="2253"/>
      <c r="G105" s="2516" t="s">
        <v>2298</v>
      </c>
      <c r="H105" s="1046">
        <f>C37</f>
        <v>0</v>
      </c>
      <c r="I105" s="138"/>
    </row>
    <row r="106" spans="1:35" ht="18.75" customHeight="1">
      <c r="A106" s="2413" t="s">
        <v>2302</v>
      </c>
      <c r="B106" s="2413"/>
      <c r="C106" s="2413"/>
      <c r="D106" s="2413"/>
      <c r="E106" s="2519" t="s">
        <v>2303</v>
      </c>
      <c r="F106" s="2253"/>
      <c r="G106" s="2516" t="s">
        <v>2298</v>
      </c>
      <c r="H106" s="1046">
        <f>C38</f>
        <v>0</v>
      </c>
      <c r="I106" s="138"/>
    </row>
    <row r="107" spans="1:35" ht="18.75" customHeight="1">
      <c r="A107" s="138"/>
      <c r="B107" s="138"/>
      <c r="C107" s="138"/>
      <c r="D107" s="138"/>
      <c r="E107" s="3111" t="str">
        <f>IF(项目基本情况!E8="已注销","——","3.房地产抵押价值")</f>
        <v>3.房地产抵押价值</v>
      </c>
      <c r="F107" s="3081"/>
      <c r="G107" s="2515" t="s">
        <v>2294</v>
      </c>
      <c r="H107" s="1045">
        <f ca="1">IF(E107="——","——",H101-H103)</f>
        <v>155579</v>
      </c>
      <c r="I107" s="138"/>
    </row>
    <row r="108" spans="1:35" ht="18.75" customHeight="1">
      <c r="A108" s="138"/>
      <c r="B108" s="138"/>
      <c r="C108" s="138"/>
      <c r="D108" s="138"/>
      <c r="E108" s="3111"/>
      <c r="F108" s="3081"/>
      <c r="G108" s="2515" t="s">
        <v>2296</v>
      </c>
      <c r="H108" s="371">
        <f ca="1">ROUND(H107*10000/'数据-汇总表'!E3,0)</f>
        <v>30310</v>
      </c>
      <c r="I108" s="138"/>
    </row>
    <row r="109" spans="1:35" ht="18.75" customHeight="1">
      <c r="A109" s="138"/>
      <c r="B109" s="138"/>
      <c r="C109" s="138"/>
      <c r="D109" s="138"/>
      <c r="E109" s="3111" t="str">
        <f>IF(项目基本情况!E8="已注销及未注销","4.抵押担保权已注销时的房地产抵押价值",IF(项目基本情况!E8="已注销","3.抵押担保权已注销时的房地产抵押价值","——"))</f>
        <v>——</v>
      </c>
      <c r="F109" s="3081"/>
      <c r="G109" s="2515" t="s">
        <v>2294</v>
      </c>
      <c r="H109" s="348" t="str">
        <f>IF(E109="——","——",H101-H105-H106)</f>
        <v>——</v>
      </c>
      <c r="I109" s="138"/>
    </row>
    <row r="110" spans="1:35" ht="18.75" customHeight="1">
      <c r="A110" s="138"/>
      <c r="B110" s="138"/>
      <c r="C110" s="138"/>
      <c r="D110" s="138"/>
      <c r="E110" s="3111"/>
      <c r="F110" s="3081"/>
      <c r="G110" s="2515" t="s">
        <v>2296</v>
      </c>
      <c r="H110" s="371" t="str">
        <f>IF(H109="——","——",ROUND(H109*10000/'数据-汇总表'!E3,0))</f>
        <v>——</v>
      </c>
      <c r="I110" s="138"/>
    </row>
    <row r="111" spans="1:35" ht="18.75" customHeight="1">
      <c r="A111" s="138"/>
      <c r="B111" s="138"/>
      <c r="C111" s="138"/>
      <c r="D111" s="138"/>
      <c r="E111" s="3112" t="str">
        <f>IF(项目基本情况!E9="抵押净值",IF(OR(项目基本情况!E8="已注销",项目基本情况!E8="房地产抵押价值"),"4.抵押净值","5.抵押净值"),"——")</f>
        <v>——</v>
      </c>
      <c r="F111" s="3113"/>
      <c r="G111" s="2515" t="s">
        <v>2294</v>
      </c>
      <c r="H111" s="1045" t="str">
        <f>IF(E111="——","——",N59)</f>
        <v>——</v>
      </c>
      <c r="I111" s="138"/>
    </row>
    <row r="112" spans="1:35" ht="18.75" customHeight="1" thickBot="1">
      <c r="A112" s="138"/>
      <c r="B112" s="138"/>
      <c r="C112" s="138"/>
      <c r="D112" s="138"/>
      <c r="E112" s="3114"/>
      <c r="F112" s="3115"/>
      <c r="G112" s="2520" t="s">
        <v>2296</v>
      </c>
      <c r="H112" s="790" t="str">
        <f>IF(E111="——","——",N61)</f>
        <v>——</v>
      </c>
      <c r="I112" s="138"/>
    </row>
    <row r="113" spans="1:11" ht="18.75" customHeight="1">
      <c r="A113" s="138"/>
      <c r="B113" s="138"/>
      <c r="C113" s="138"/>
      <c r="D113" s="138"/>
      <c r="E113" s="3123" t="s">
        <v>2302</v>
      </c>
      <c r="F113" s="3123"/>
      <c r="G113" s="3123"/>
      <c r="H113" s="3123"/>
      <c r="I113" s="138"/>
    </row>
    <row r="114" spans="1:11" ht="3.75" customHeight="1">
      <c r="A114" s="2413"/>
      <c r="B114" s="2413"/>
      <c r="C114" s="2413"/>
      <c r="D114" s="2413"/>
      <c r="E114" s="2491"/>
      <c r="F114" s="2491"/>
      <c r="G114" s="2491"/>
      <c r="H114" s="2491"/>
      <c r="I114" s="2413"/>
    </row>
    <row r="115" spans="1:11" ht="18.75" customHeight="1">
      <c r="A115" s="3136" t="s">
        <v>2304</v>
      </c>
      <c r="B115" s="3137"/>
      <c r="C115" s="3137"/>
      <c r="D115" s="3137"/>
      <c r="E115" s="3137"/>
      <c r="F115" s="3137"/>
      <c r="G115" s="3137"/>
      <c r="H115" s="3137"/>
      <c r="I115" s="3138"/>
    </row>
    <row r="116" spans="1:11" ht="27" customHeight="1">
      <c r="A116" s="3047" t="s">
        <v>2305</v>
      </c>
      <c r="B116" s="3090" t="s">
        <v>2306</v>
      </c>
      <c r="C116" s="3090" t="s">
        <v>2307</v>
      </c>
      <c r="D116" s="3096" t="s">
        <v>2308</v>
      </c>
      <c r="E116" s="3097"/>
      <c r="F116" s="3132" t="s">
        <v>2309</v>
      </c>
      <c r="G116" s="3132"/>
      <c r="H116" s="3047" t="s">
        <v>2310</v>
      </c>
      <c r="I116" s="3047"/>
    </row>
    <row r="117" spans="1:11" ht="18.75" customHeight="1">
      <c r="A117" s="3047"/>
      <c r="B117" s="3091"/>
      <c r="C117" s="3091"/>
      <c r="D117" s="1794" t="s">
        <v>2311</v>
      </c>
      <c r="E117" s="1794" t="s">
        <v>2312</v>
      </c>
      <c r="F117" s="1794" t="s">
        <v>2311</v>
      </c>
      <c r="G117" s="1794" t="s">
        <v>2313</v>
      </c>
      <c r="H117" s="1794" t="s">
        <v>2311</v>
      </c>
      <c r="I117" s="1794" t="s">
        <v>2313</v>
      </c>
    </row>
    <row r="118" spans="1:11" ht="24.75" customHeight="1">
      <c r="A118" s="2521" t="str">
        <f>项目基本情况!S2</f>
        <v>北京市朝阳区东三环北路29号楼-4至25层101号房地产</v>
      </c>
      <c r="B118" s="1794">
        <f>M18</f>
        <v>51328.59</v>
      </c>
      <c r="C118" s="1794">
        <f>M19</f>
        <v>7779.45</v>
      </c>
      <c r="D118" s="1794">
        <f ca="1">ROUND(IF(D32="总价",C34,E118*B118/10000),0)</f>
        <v>124463</v>
      </c>
      <c r="E118" s="1794">
        <f ca="1">ROUND(IF(C33="自定义",IF(D32="楼面单价",C34,D118*10000/B118),I118-G118),0)</f>
        <v>24248</v>
      </c>
      <c r="F118" s="1794">
        <f ca="1">ROUND(IF(D32="总价",C35,G118*B118/10000),0)</f>
        <v>31116</v>
      </c>
      <c r="G118" s="1794">
        <f ca="1">ROUND(IF(D32="楼面单价",C35,F118*10000/B118),0)</f>
        <v>6062</v>
      </c>
      <c r="H118" s="1794">
        <f ca="1">ROUND(IF(D32="总价",C32,I118*B118/10000),0)</f>
        <v>155579</v>
      </c>
      <c r="I118" s="1794">
        <f ca="1">ROUND(IF(D32="楼面单价",C32,H118*10000/B118),0)</f>
        <v>30310</v>
      </c>
    </row>
    <row r="119" spans="1:11" ht="18.75" customHeight="1">
      <c r="A119" s="3047" t="s">
        <v>2314</v>
      </c>
      <c r="B119" s="3047"/>
      <c r="C119" s="3047"/>
      <c r="D119" s="3092" t="str">
        <f ca="1">NUMBERSTRING(INT(D118*10000),2)&amp;"元整"</f>
        <v>壹拾贰亿肆仟肆佰陆拾叁万元整</v>
      </c>
      <c r="E119" s="3093"/>
      <c r="F119" s="3092" t="str">
        <f ca="1">NUMBERSTRING(INT(F118*10000),2)&amp;"元整"</f>
        <v>叁亿壹仟壹佰壹拾陆万元整</v>
      </c>
      <c r="G119" s="3093"/>
      <c r="H119" s="3092" t="str">
        <f ca="1">NUMBERSTRING(INT(H118*10000),2)&amp;"元整"</f>
        <v>壹拾伍亿伍仟伍佰柒拾玖万元整</v>
      </c>
      <c r="I119" s="3093"/>
    </row>
    <row r="120" spans="1:11" ht="18.75" customHeight="1">
      <c r="A120" s="3087" t="str">
        <f>IF(项目基本情况!B9="房地产市场价值","",MID(E103,3,LEN(E103)-2))</f>
        <v>估价师知悉的法定优先受偿款</v>
      </c>
      <c r="B120" s="3088"/>
      <c r="C120" s="3089"/>
      <c r="D120" s="3087">
        <f>H103</f>
        <v>0</v>
      </c>
      <c r="E120" s="3088"/>
      <c r="F120" s="3088"/>
      <c r="G120" s="3088"/>
      <c r="H120" s="3088"/>
      <c r="I120" s="3089"/>
      <c r="K120" s="2418" t="str">
        <f>IF(D120=0,"故，本次评估不存在"&amp;A120,"故，本次评估"&amp;A120&amp;"为人民币"&amp;D120&amp;"万元整。")</f>
        <v>故，本次评估不存在估价师知悉的法定优先受偿款</v>
      </c>
    </row>
    <row r="121" spans="1:11" ht="18.75" customHeight="1">
      <c r="A121" s="3133" t="s">
        <v>2314</v>
      </c>
      <c r="B121" s="3134"/>
      <c r="C121" s="3135"/>
      <c r="D121" s="3092" t="str">
        <f>IF(D120=0,"零元整",NUMBERSTRING(INT(D120*10000),2)&amp;"元整")</f>
        <v>零元整</v>
      </c>
      <c r="E121" s="3094"/>
      <c r="F121" s="3094"/>
      <c r="G121" s="3094"/>
      <c r="H121" s="3094"/>
      <c r="I121" s="3093"/>
    </row>
    <row r="122" spans="1:11" ht="18.75" customHeight="1">
      <c r="A122" s="3098" t="str">
        <f>IF(项目基本情况!B9="房地产市场价值","",MID(E107,3,LEN(E107)-2))</f>
        <v>房地产抵押价值</v>
      </c>
      <c r="B122" s="3098"/>
      <c r="C122" s="3098"/>
      <c r="D122" s="3087">
        <f ca="1">H107</f>
        <v>155579</v>
      </c>
      <c r="E122" s="3088"/>
      <c r="F122" s="3088"/>
      <c r="G122" s="3088"/>
      <c r="H122" s="3088"/>
      <c r="I122" s="3089"/>
    </row>
    <row r="123" spans="1:11" ht="18.75" customHeight="1">
      <c r="A123" s="3047" t="s">
        <v>2314</v>
      </c>
      <c r="B123" s="3047"/>
      <c r="C123" s="3047"/>
      <c r="D123" s="3092" t="str">
        <f ca="1">NUMBERSTRING(INT(D122*10000),2)&amp;"元整"</f>
        <v>壹拾伍亿伍仟伍佰柒拾玖万元整</v>
      </c>
      <c r="E123" s="3094"/>
      <c r="F123" s="3094"/>
      <c r="G123" s="3094"/>
      <c r="H123" s="3094"/>
      <c r="I123" s="3093"/>
    </row>
    <row r="124" spans="1:11" ht="18.75" customHeight="1">
      <c r="A124" s="3098" t="str">
        <f>IF(项目基本情况!B9="房地产市场价值","",MID(E109,3,LEN(E109)-2))</f>
        <v/>
      </c>
      <c r="B124" s="3098"/>
      <c r="C124" s="3098"/>
      <c r="D124" s="3087" t="str">
        <f>H109</f>
        <v>——</v>
      </c>
      <c r="E124" s="3088"/>
      <c r="F124" s="3088"/>
      <c r="G124" s="3088"/>
      <c r="H124" s="3088"/>
      <c r="I124" s="3089"/>
    </row>
    <row r="125" spans="1:11" ht="18.75" customHeight="1">
      <c r="A125" s="3047" t="s">
        <v>2314</v>
      </c>
      <c r="B125" s="3047"/>
      <c r="C125" s="3047"/>
      <c r="D125" s="3092" t="e">
        <f>NUMBERSTRING(INT(D124*10000),2)&amp;"元整"</f>
        <v>#VALUE!</v>
      </c>
      <c r="E125" s="3094"/>
      <c r="F125" s="3094"/>
      <c r="G125" s="3094"/>
      <c r="H125" s="3094"/>
      <c r="I125" s="3093"/>
    </row>
    <row r="126" spans="1:11" ht="18.75" customHeight="1">
      <c r="A126" s="3098" t="str">
        <f>IF(项目基本情况!B9="房地产市场价值","",MID(E111,3,LEN(E111)-2))</f>
        <v/>
      </c>
      <c r="B126" s="3098"/>
      <c r="C126" s="3098"/>
      <c r="D126" s="3087" t="str">
        <f>H111</f>
        <v>——</v>
      </c>
      <c r="E126" s="3088"/>
      <c r="F126" s="3088"/>
      <c r="G126" s="3088"/>
      <c r="H126" s="3088"/>
      <c r="I126" s="3089"/>
    </row>
    <row r="127" spans="1:11" ht="18.75" customHeight="1">
      <c r="A127" s="3047" t="s">
        <v>2314</v>
      </c>
      <c r="B127" s="3047"/>
      <c r="C127" s="3047"/>
      <c r="D127" s="3092" t="e">
        <f>NUMBERSTRING(INT(D126*10000),2)&amp;"元整"</f>
        <v>#VALUE!</v>
      </c>
      <c r="E127" s="3094"/>
      <c r="F127" s="3094"/>
      <c r="G127" s="3094"/>
      <c r="H127" s="3094"/>
      <c r="I127" s="3093"/>
    </row>
    <row r="128" spans="1:11" ht="21.75" customHeight="1">
      <c r="A128" s="3095" t="s">
        <v>2315</v>
      </c>
      <c r="B128" s="3095"/>
      <c r="C128" s="3095"/>
      <c r="D128" s="3095"/>
      <c r="E128" s="3095"/>
      <c r="F128" s="3095"/>
      <c r="G128" s="3095"/>
      <c r="H128" s="3095"/>
      <c r="I128" s="3095"/>
    </row>
    <row r="129" spans="1:35" ht="21.75" customHeight="1">
      <c r="A129" s="2522" t="s">
        <v>2316</v>
      </c>
      <c r="B129" s="2523"/>
      <c r="C129" s="2524" t="s">
        <v>2317</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2318</v>
      </c>
      <c r="G135" s="2539"/>
      <c r="H135" s="2539"/>
      <c r="I135" s="2540" t="s">
        <v>2319</v>
      </c>
    </row>
    <row r="136" spans="1:35" ht="21.75" customHeight="1">
      <c r="A136" s="795"/>
      <c r="B136" s="2541"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2321</v>
      </c>
    </row>
    <row r="139" spans="1:35" ht="21.75" customHeight="1">
      <c r="A139" s="795"/>
      <c r="B139" s="2541" t="s">
        <v>2322</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2321</v>
      </c>
    </row>
    <row r="142" spans="1:35" ht="21.75" customHeight="1">
      <c r="A142" s="795"/>
      <c r="B142" s="2541"/>
      <c r="C142" s="2542"/>
      <c r="D142" s="2543"/>
      <c r="E142" s="2543"/>
      <c r="F142" s="2336"/>
      <c r="G142" s="795"/>
      <c r="H142" s="795"/>
      <c r="I142" s="795"/>
    </row>
    <row r="143" spans="1:35" s="139" customFormat="1" ht="21.75" customHeight="1">
      <c r="A143" s="795"/>
      <c r="B143" s="2541"/>
      <c r="C143" s="2542"/>
      <c r="D143" s="2543"/>
      <c r="E143" s="2543"/>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K32" sqref="K3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5"/>
      <c r="C1" s="242"/>
      <c r="D1" s="242"/>
      <c r="E1" s="242"/>
      <c r="F1" s="242"/>
      <c r="G1" s="1379">
        <f>MATCH(B1,'数据-取费表'!A6:A16,0)+5</f>
        <v>7</v>
      </c>
    </row>
    <row r="2" spans="1:9" s="244" customFormat="1" ht="18" customHeight="1">
      <c r="A2" s="245" t="s">
        <v>2324</v>
      </c>
      <c r="B2" s="246">
        <f ca="1">IF(D2="——",C52,C52-E2)</f>
        <v>215772</v>
      </c>
      <c r="C2" s="243" t="s">
        <v>2325</v>
      </c>
      <c r="D2" s="2544" t="s">
        <v>70</v>
      </c>
      <c r="E2" s="1440" t="e">
        <f ca="1">SUMIF(INDIRECT("'"&amp;G2&amp;"'"&amp;"!A:A"),"承租人权益价值",INDIRECT("'"&amp;G2&amp;"'"&amp;"!c:c"))</f>
        <v>#REF!</v>
      </c>
      <c r="F2" s="2545" t="s">
        <v>2325</v>
      </c>
      <c r="G2" s="2546"/>
    </row>
    <row r="3" spans="1:9" s="244" customFormat="1" ht="18" customHeight="1" thickBot="1">
      <c r="A3" s="247" t="s">
        <v>2326</v>
      </c>
      <c r="B3" s="248">
        <f ca="1">ROUND(B2*10000/(IF(B1="",'数据-汇总表'!E3,INDIRECT("'数据-取费表'!k"&amp;$G$1))),0)</f>
        <v>42037</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125269</v>
      </c>
      <c r="D5" s="255" t="s">
        <v>2331</v>
      </c>
      <c r="E5" s="256" t="s">
        <v>2332</v>
      </c>
      <c r="F5" s="256" t="s">
        <v>2333</v>
      </c>
      <c r="G5" s="257"/>
    </row>
    <row r="6" spans="1:9" s="258" customFormat="1" ht="13.5" customHeight="1">
      <c r="A6" s="949" t="s">
        <v>2334</v>
      </c>
      <c r="B6" s="259" t="s">
        <v>2335</v>
      </c>
      <c r="C6" s="260">
        <f ca="1">基准地价修正!B2</f>
        <v>120565</v>
      </c>
      <c r="D6" s="261"/>
      <c r="E6" s="262"/>
      <c r="F6" s="262"/>
      <c r="G6" s="263"/>
    </row>
    <row r="7" spans="1:9" s="258" customFormat="1" ht="13.5" customHeight="1">
      <c r="A7" s="949" t="s">
        <v>2336</v>
      </c>
      <c r="B7" s="259" t="s">
        <v>2337</v>
      </c>
      <c r="C7" s="264">
        <f ca="1">ROUND(C6*F7,0)</f>
        <v>3677</v>
      </c>
      <c r="D7" s="264"/>
      <c r="E7" s="262"/>
      <c r="F7" s="265">
        <f>IF(项目基本情况!B8="出让",0,'数据-取费表'!B48+'数据-取费表'!B49)</f>
        <v>3.0499999999999999E-2</v>
      </c>
      <c r="G7" s="263"/>
    </row>
    <row r="8" spans="1:9" s="267" customFormat="1">
      <c r="A8" s="949" t="s">
        <v>2338</v>
      </c>
      <c r="B8" s="259" t="s">
        <v>2339</v>
      </c>
      <c r="C8" s="264">
        <f ca="1">IF(G8="已包含在土地购买价格中","0",IF(B1="",'数据-取费表'!B29,IF(G9="全部缴纳",C9+C10,H9)))</f>
        <v>1027</v>
      </c>
      <c r="D8" s="266"/>
      <c r="E8" s="264"/>
      <c r="F8" s="265"/>
      <c r="G8" s="2547" t="s">
        <v>3081</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0</v>
      </c>
      <c r="F9" s="265"/>
      <c r="G9" s="2548" t="s">
        <v>3082</v>
      </c>
      <c r="H9" s="1390"/>
      <c r="I9" s="2549" t="s">
        <v>2341</v>
      </c>
    </row>
    <row r="10" spans="1:9" s="258" customFormat="1" ht="13.5" customHeight="1">
      <c r="A10" s="950" t="s">
        <v>801</v>
      </c>
      <c r="B10" s="268" t="s">
        <v>2342</v>
      </c>
      <c r="C10" s="269">
        <f ca="1">ROUND(D10*E10/10000,0)</f>
        <v>1027</v>
      </c>
      <c r="D10" s="1032">
        <f ca="1">IF(B1="",'数据-汇总表'!E6,IF(INDIRECT("'数据-取费表'!c"&amp;$G$1)="住宅",INDIRECT("'数据-取费表'!s"&amp;$G$1),INDIRECT("'数据-取费表'!k"&amp;$G$1)+INDIRECT("'数据-取费表'!s"&amp;$G$1)))</f>
        <v>51328.59</v>
      </c>
      <c r="E10" s="269">
        <f>'数据-取费表'!B28</f>
        <v>200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51328.59</v>
      </c>
      <c r="E19" s="255">
        <f>'数据-取费表'!B31</f>
        <v>200</v>
      </c>
      <c r="F19" s="275"/>
      <c r="G19" s="2547" t="s">
        <v>3083</v>
      </c>
    </row>
    <row r="20" spans="1:7" s="258" customFormat="1" ht="13.5" customHeight="1">
      <c r="A20" s="299" t="s">
        <v>2355</v>
      </c>
      <c r="B20" s="254" t="s">
        <v>2356</v>
      </c>
      <c r="C20" s="276">
        <f ca="1">ROUND((C5+C19)*F20,0)</f>
        <v>2505</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12302</v>
      </c>
      <c r="D22" s="279">
        <f ca="1">C26</f>
        <v>1E-3</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12183</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119</v>
      </c>
      <c r="D25" s="282"/>
      <c r="E25" s="285"/>
      <c r="F25" s="283"/>
      <c r="G25" s="286" t="s">
        <v>2372</v>
      </c>
    </row>
    <row r="26" spans="1:7" s="258" customFormat="1">
      <c r="A26" s="951"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19166</v>
      </c>
      <c r="D27" s="279">
        <f ca="1">C29</f>
        <v>3.0000000000000001E-3</v>
      </c>
      <c r="E27" s="280" t="s">
        <v>2376</v>
      </c>
      <c r="F27" s="290">
        <f ca="1">IF(B1="",'数据-取费表'!Q16,INDIRECT("'数据-取费表'!q"&amp;$G$1))</f>
        <v>0.15</v>
      </c>
      <c r="G27" s="291" t="s">
        <v>2377</v>
      </c>
    </row>
    <row r="28" spans="1:7" s="258" customFormat="1" ht="13.5" customHeight="1">
      <c r="A28" s="951" t="s">
        <v>791</v>
      </c>
      <c r="B28" s="292" t="s">
        <v>2378</v>
      </c>
      <c r="C28" s="293">
        <f ca="1">ROUND((C5+C19+C20)*F27*'数据-取费表'!B21/'数据-取费表'!B20,0)</f>
        <v>19166</v>
      </c>
      <c r="D28" s="279"/>
      <c r="E28" s="280"/>
      <c r="F28" s="290"/>
      <c r="G28" s="291"/>
    </row>
    <row r="29" spans="1:7" s="258" customFormat="1" ht="13.5" customHeight="1">
      <c r="A29" s="951" t="s">
        <v>792</v>
      </c>
      <c r="B29" s="292" t="s">
        <v>2379</v>
      </c>
      <c r="C29" s="282">
        <f ca="1">ROUND(C21*F27*'数据-取费表'!B21/'数据-取费表'!B20,4)</f>
        <v>3.0000000000000001E-3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172583</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37501</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34903</v>
      </c>
      <c r="D34" s="261"/>
      <c r="E34" s="264"/>
      <c r="F34" s="301">
        <f ca="1">IF('数据-取费表'!B24=0,1,IF(B1="",'数据-取费表'!N16,INDIRECT("'数据-取费表'!n"&amp;$G$1)))</f>
        <v>1</v>
      </c>
      <c r="G34" s="263" t="s">
        <v>2388</v>
      </c>
    </row>
    <row r="35" spans="1:7" ht="13.5" customHeight="1">
      <c r="A35" s="951" t="s">
        <v>796</v>
      </c>
      <c r="B35" s="259" t="s">
        <v>2389</v>
      </c>
      <c r="C35" s="264">
        <f ca="1">ROUND(C34*F35,0)</f>
        <v>1047</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1027</v>
      </c>
      <c r="D37" s="261">
        <f ca="1">D19</f>
        <v>51328.59</v>
      </c>
      <c r="E37" s="293">
        <f>'数据-取费表'!B35</f>
        <v>200</v>
      </c>
      <c r="F37" s="303"/>
      <c r="G37" s="305" t="s">
        <v>2394</v>
      </c>
    </row>
    <row r="38" spans="1:7" ht="13.5" customHeight="1">
      <c r="A38" s="951" t="s">
        <v>799</v>
      </c>
      <c r="B38" s="259" t="s">
        <v>2395</v>
      </c>
      <c r="C38" s="264">
        <f ca="1">ROUND(C34*F38,0)</f>
        <v>524</v>
      </c>
      <c r="D38" s="264"/>
      <c r="E38" s="264"/>
      <c r="F38" s="303">
        <f>'数据-取费表'!B36</f>
        <v>1.4999999999999999E-2</v>
      </c>
      <c r="G38" s="263" t="s">
        <v>2390</v>
      </c>
    </row>
    <row r="39" spans="1:7" s="258" customFormat="1" ht="13.5" customHeight="1">
      <c r="A39" s="299" t="s">
        <v>2396</v>
      </c>
      <c r="B39" s="254" t="s">
        <v>2397</v>
      </c>
      <c r="C39" s="276">
        <f ca="1">ROUND(C33*F20,0)</f>
        <v>750</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1817</v>
      </c>
      <c r="D41" s="279">
        <f ca="1">C44</f>
        <v>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1781</v>
      </c>
      <c r="D42" s="282"/>
      <c r="E42" s="282"/>
      <c r="F42" s="283"/>
      <c r="G42" s="3167" t="s">
        <v>2406</v>
      </c>
    </row>
    <row r="43" spans="1:7" ht="13.5" customHeight="1">
      <c r="A43" s="951" t="s">
        <v>792</v>
      </c>
      <c r="B43" s="259" t="s">
        <v>2407</v>
      </c>
      <c r="C43" s="282">
        <f ca="1">ROUND(IF('数据-取费表'!B22&lt;=1,C39*F22*'数据-取费表'!B21/2,C39*(POWER((1+F22),'数据-取费表'!B21/2)-1)),0)</f>
        <v>36</v>
      </c>
      <c r="D43" s="282"/>
      <c r="E43" s="282"/>
      <c r="F43" s="283"/>
      <c r="G43" s="3168"/>
    </row>
    <row r="44" spans="1:7" ht="13.5" customHeight="1">
      <c r="A44" s="951" t="s">
        <v>793</v>
      </c>
      <c r="B44" s="259" t="s">
        <v>2408</v>
      </c>
      <c r="C44" s="282">
        <f ca="1">ROUND(IF('数据-取费表'!B22&lt;=1,C40*F22*'数据-取费表'!B21/2,C40*(POWER((1+F22),'数据-取费表'!B21/2)-1)),4)</f>
        <v>1E-3</v>
      </c>
      <c r="D44" s="282"/>
      <c r="E44" s="282"/>
      <c r="F44" s="283"/>
      <c r="G44" s="3169"/>
    </row>
    <row r="45" spans="1:7" s="258" customFormat="1" ht="13.5" customHeight="1">
      <c r="A45" s="299" t="s">
        <v>2409</v>
      </c>
      <c r="B45" s="288" t="s">
        <v>2375</v>
      </c>
      <c r="C45" s="289">
        <f ca="1">C46</f>
        <v>5738</v>
      </c>
      <c r="D45" s="279">
        <f ca="1">C47</f>
        <v>3.0000000000000001E-3</v>
      </c>
      <c r="E45" s="280" t="s">
        <v>2401</v>
      </c>
      <c r="F45" s="290"/>
      <c r="G45" s="291" t="s">
        <v>2410</v>
      </c>
    </row>
    <row r="46" spans="1:7" s="258" customFormat="1" ht="13.5" customHeight="1">
      <c r="A46" s="951" t="s">
        <v>791</v>
      </c>
      <c r="B46" s="292" t="s">
        <v>2411</v>
      </c>
      <c r="C46" s="293">
        <f ca="1">ROUND((C33+C39)*F27,0)</f>
        <v>5738</v>
      </c>
      <c r="D46" s="307"/>
      <c r="E46" s="280"/>
      <c r="F46" s="290"/>
      <c r="G46" s="291"/>
    </row>
    <row r="47" spans="1:7" s="258" customFormat="1" ht="13.5" customHeight="1">
      <c r="A47" s="951" t="s">
        <v>792</v>
      </c>
      <c r="B47" s="292" t="s">
        <v>2412</v>
      </c>
      <c r="C47" s="282">
        <f ca="1">ROUND(C40*F27,4)</f>
        <v>3.0000000000000001E-3</v>
      </c>
      <c r="D47" s="307"/>
      <c r="E47" s="280"/>
      <c r="F47" s="290"/>
      <c r="G47" s="291"/>
    </row>
    <row r="48" spans="1:7" s="258" customFormat="1" ht="13.5" customHeight="1">
      <c r="A48" s="299" t="s">
        <v>2374</v>
      </c>
      <c r="B48" s="254" t="s">
        <v>2413</v>
      </c>
      <c r="C48" s="1728">
        <f>ROUND(F30/(1+'数据-取费表'!C42),4)</f>
        <v>5.33E-2</v>
      </c>
      <c r="D48" s="280" t="s">
        <v>2401</v>
      </c>
      <c r="E48" s="276"/>
      <c r="F48" s="281"/>
      <c r="G48" s="278" t="s">
        <v>2414</v>
      </c>
    </row>
    <row r="49" spans="1:7" ht="16.5" customHeight="1">
      <c r="A49" s="299" t="s">
        <v>2380</v>
      </c>
      <c r="B49" s="254" t="s">
        <v>2415</v>
      </c>
      <c r="C49" s="276">
        <f ca="1">ROUND((C33+C39+C41+C45)/(1-C40-D41-D45-C48),0)</f>
        <v>49643</v>
      </c>
      <c r="D49" s="276"/>
      <c r="E49" s="276"/>
      <c r="F49" s="308"/>
      <c r="G49" s="278" t="s">
        <v>2416</v>
      </c>
    </row>
    <row r="50" spans="1:7" s="302" customFormat="1" ht="24">
      <c r="A50" s="299" t="s">
        <v>2417</v>
      </c>
      <c r="B50" s="254" t="s">
        <v>2418</v>
      </c>
      <c r="C50" s="276"/>
      <c r="D50" s="276"/>
      <c r="E50" s="276"/>
      <c r="F50" s="308">
        <f>IF('数据-取费表'!B24=0,'数据-取费表'!N16,1)</f>
        <v>0.87</v>
      </c>
      <c r="G50" s="291" t="s">
        <v>2419</v>
      </c>
    </row>
    <row r="51" spans="1:7" ht="16.5" customHeight="1">
      <c r="A51" s="299" t="s">
        <v>2420</v>
      </c>
      <c r="B51" s="254" t="s">
        <v>2421</v>
      </c>
      <c r="C51" s="276">
        <f ca="1">ROUND(C49*F50,0)</f>
        <v>43189</v>
      </c>
      <c r="D51" s="276"/>
      <c r="E51" s="276"/>
      <c r="F51" s="308"/>
      <c r="G51" s="278" t="s">
        <v>2422</v>
      </c>
    </row>
    <row r="52" spans="1:7" s="252" customFormat="1" ht="16.5" thickBot="1">
      <c r="A52" s="309" t="s">
        <v>2423</v>
      </c>
      <c r="B52" s="310"/>
      <c r="C52" s="311">
        <f ca="1">C31+C51</f>
        <v>215772</v>
      </c>
      <c r="D52" s="310"/>
      <c r="E52" s="310"/>
      <c r="F52" s="310"/>
      <c r="G52" s="312"/>
    </row>
    <row r="55" spans="1:7" ht="15">
      <c r="B55" s="314" t="s">
        <v>2424</v>
      </c>
      <c r="C55" s="315"/>
    </row>
    <row r="56" spans="1:7">
      <c r="B56" s="317" t="s">
        <v>1507</v>
      </c>
      <c r="C56" s="319">
        <f ca="1">1-C57</f>
        <v>0.8</v>
      </c>
    </row>
    <row r="57" spans="1:7">
      <c r="B57" s="317" t="s">
        <v>1508</v>
      </c>
      <c r="C57" s="318">
        <f ca="1">ROUND(C51/C52,3)</f>
        <v>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1" t="str">
        <f>项目基本情况!B1</f>
        <v>北京市朝阳区东三环北路29号楼-4至25层101号房地产抵押价值预评估</v>
      </c>
      <c r="C37" s="2981"/>
      <c r="D37" s="2981"/>
      <c r="E37" s="2981"/>
      <c r="F37" s="2981"/>
      <c r="G37" s="2981"/>
      <c r="H37" s="2981"/>
      <c r="I37" s="2981"/>
    </row>
    <row r="38" spans="1:9">
      <c r="A38" s="1016"/>
      <c r="B38" s="1016"/>
    </row>
    <row r="39" spans="1:9">
      <c r="A39" s="1014" t="s">
        <v>818</v>
      </c>
      <c r="B39" s="1014" t="s">
        <v>820</v>
      </c>
    </row>
    <row r="40" spans="1:9">
      <c r="A40" s="1014"/>
      <c r="B40" s="1940" t="str">
        <f>项目基本情况!B5</f>
        <v>北京康拉德房地产开发有限公司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吴薇（注册号：1419970001)、郑燚（注册号：1120070131)</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5"/>
      <c r="C1" s="2550"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46018</v>
      </c>
      <c r="C2" s="243" t="s">
        <v>2325</v>
      </c>
      <c r="D2" s="2544" t="s">
        <v>70</v>
      </c>
      <c r="E2" s="1440" t="e">
        <f ca="1">SUMIF(INDIRECT("'"&amp;G2&amp;"'"&amp;"!A:A"),"承租人权益价值",INDIRECT("'"&amp;G2&amp;"'"&amp;"!c:c"))</f>
        <v>#REF!</v>
      </c>
      <c r="F2" s="2545" t="s">
        <v>2325</v>
      </c>
      <c r="G2" s="2546"/>
    </row>
    <row r="3" spans="1:8" s="244" customFormat="1" ht="18" customHeight="1" thickBot="1">
      <c r="A3" s="247" t="s">
        <v>2326</v>
      </c>
      <c r="B3" s="248">
        <f ca="1">ROUND(B2*10000/(IF(B1="",'数据-汇总表'!E3,INDIRECT("'数据-取费表'!k"&amp;$G$1))),0)</f>
        <v>8965</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10265718</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10265718</v>
      </c>
      <c r="D8" s="266"/>
      <c r="E8" s="264"/>
      <c r="F8" s="265"/>
      <c r="G8" s="2547"/>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2342</v>
      </c>
      <c r="C10" s="269">
        <f ca="1">ROUND(D10*E10,0)</f>
        <v>10265718</v>
      </c>
      <c r="D10" s="1032">
        <f ca="1">IF(B1="",'数据-汇总表'!E6,IF(INDIRECT("'数据-取费表'!c"&amp;$G$1)="住宅",INDIRECT("'数据-取费表'!s"&amp;$G$1),INDIRECT("'数据-取费表'!k"&amp;$G$1)+INDIRECT("'数据-取费表'!s"&amp;$G$1)))</f>
        <v>51328.59</v>
      </c>
      <c r="E10" s="269">
        <f>'数据-取费表'!B28</f>
        <v>200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10265718</v>
      </c>
      <c r="D19" s="1036">
        <f ca="1">D9+D10</f>
        <v>51328.59</v>
      </c>
      <c r="E19" s="255">
        <f>'数据-取费表'!B31</f>
        <v>200</v>
      </c>
      <c r="F19" s="275"/>
      <c r="G19" s="2547"/>
    </row>
    <row r="20" spans="1:7" s="258" customFormat="1" ht="13.5" customHeight="1">
      <c r="A20" s="299" t="s">
        <v>2436</v>
      </c>
      <c r="B20" s="254" t="s">
        <v>2437</v>
      </c>
      <c r="C20" s="276">
        <f ca="1">ROUND((C5+C19)*F20,0)</f>
        <v>410629</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2016315</v>
      </c>
      <c r="D22" s="279">
        <f ca="1">C26</f>
        <v>1E-3</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998405</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998405</v>
      </c>
      <c r="D24" s="282"/>
      <c r="E24" s="282"/>
      <c r="F24" s="283"/>
      <c r="G24" s="284" t="s">
        <v>2448</v>
      </c>
    </row>
    <row r="25" spans="1:7" s="258" customFormat="1" ht="24">
      <c r="A25" s="951" t="s">
        <v>2338</v>
      </c>
      <c r="B25" s="259" t="s">
        <v>2449</v>
      </c>
      <c r="C25" s="1381">
        <f ca="1">ROUND(IF('数据-取费表'!B22&lt;=1,C20*F22*'数据-取费表'!B22/2,C20*(POWER((1+F22),'数据-取费表'!B22/2)-1)),0)</f>
        <v>19505</v>
      </c>
      <c r="D25" s="282"/>
      <c r="E25" s="285"/>
      <c r="F25" s="283"/>
      <c r="G25" s="286" t="s">
        <v>2450</v>
      </c>
    </row>
    <row r="26" spans="1:7" s="258" customFormat="1">
      <c r="A26" s="951"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3141310</v>
      </c>
      <c r="D27" s="279">
        <f ca="1">C29</f>
        <v>3.0000000000000001E-3</v>
      </c>
      <c r="E27" s="280" t="s">
        <v>2376</v>
      </c>
      <c r="F27" s="290">
        <f ca="1">IF(B1="",'数据-取费表'!Q16,INDIRECT("'数据-取费表'!q"&amp;$G$1))</f>
        <v>0.15</v>
      </c>
      <c r="G27" s="291" t="s">
        <v>2377</v>
      </c>
    </row>
    <row r="28" spans="1:7" s="258" customFormat="1" ht="13.5" customHeight="1">
      <c r="A28" s="951" t="s">
        <v>791</v>
      </c>
      <c r="B28" s="292" t="s">
        <v>2378</v>
      </c>
      <c r="C28" s="293">
        <f ca="1">ROUND((C5+C19+C20)*F27,0)</f>
        <v>3141310</v>
      </c>
      <c r="D28" s="279"/>
      <c r="E28" s="280"/>
      <c r="F28" s="290"/>
      <c r="G28" s="291"/>
    </row>
    <row r="29" spans="1:7" s="258" customFormat="1" ht="13.5" customHeight="1">
      <c r="A29" s="951" t="s">
        <v>792</v>
      </c>
      <c r="B29" s="292" t="s">
        <v>2379</v>
      </c>
      <c r="C29" s="282">
        <f ca="1">ROUND(C21*F27,4)</f>
        <v>3.0000000000000001E-3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28286214</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375006678</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349034412</v>
      </c>
      <c r="D34" s="261"/>
      <c r="E34" s="264"/>
      <c r="F34" s="301"/>
      <c r="G34" s="263"/>
    </row>
    <row r="35" spans="1:7" ht="13.5" customHeight="1">
      <c r="A35" s="951" t="s">
        <v>796</v>
      </c>
      <c r="B35" s="259" t="s">
        <v>2389</v>
      </c>
      <c r="C35" s="264">
        <f ca="1">ROUND(C34*F35,0)</f>
        <v>10471032</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10265718</v>
      </c>
      <c r="D37" s="261">
        <f ca="1">D19</f>
        <v>51328.59</v>
      </c>
      <c r="E37" s="293">
        <f>'数据-取费表'!B35</f>
        <v>200</v>
      </c>
      <c r="F37" s="303"/>
      <c r="G37" s="305"/>
    </row>
    <row r="38" spans="1:7" ht="13.5" customHeight="1">
      <c r="A38" s="951" t="s">
        <v>799</v>
      </c>
      <c r="B38" s="259" t="s">
        <v>2395</v>
      </c>
      <c r="C38" s="264">
        <f ca="1">ROUND(C34*F38,0)</f>
        <v>5235516</v>
      </c>
      <c r="D38" s="264"/>
      <c r="E38" s="264"/>
      <c r="F38" s="303">
        <f>'数据-取费表'!B36</f>
        <v>1.4999999999999999E-2</v>
      </c>
      <c r="G38" s="263" t="s">
        <v>2390</v>
      </c>
    </row>
    <row r="39" spans="1:7" s="258" customFormat="1" ht="13.5" customHeight="1">
      <c r="A39" s="299" t="s">
        <v>2396</v>
      </c>
      <c r="B39" s="254" t="s">
        <v>2397</v>
      </c>
      <c r="C39" s="276">
        <f ca="1">ROUND(C33*F20,0)</f>
        <v>7500134</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18169073</v>
      </c>
      <c r="D41" s="279">
        <f ca="1">C44</f>
        <v>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17812817</v>
      </c>
      <c r="D42" s="282"/>
      <c r="E42" s="282"/>
      <c r="F42" s="283"/>
      <c r="G42" s="3167" t="s">
        <v>2453</v>
      </c>
    </row>
    <row r="43" spans="1:7" ht="13.5" customHeight="1">
      <c r="A43" s="951" t="s">
        <v>792</v>
      </c>
      <c r="B43" s="259" t="s">
        <v>2407</v>
      </c>
      <c r="C43" s="282">
        <f ca="1">ROUND(IF('数据-取费表'!B22&lt;=1,C39*F22*'数据-取费表'!B20/2,C39*(POWER((1+F22),'数据-取费表'!B20/2)-1)),0)</f>
        <v>356256</v>
      </c>
      <c r="D43" s="282"/>
      <c r="E43" s="282"/>
      <c r="F43" s="283"/>
      <c r="G43" s="3168"/>
    </row>
    <row r="44" spans="1:7" ht="13.5" customHeight="1">
      <c r="A44" s="951" t="s">
        <v>793</v>
      </c>
      <c r="B44" s="259" t="s">
        <v>2408</v>
      </c>
      <c r="C44" s="282">
        <f ca="1">ROUND(IF('数据-取费表'!B22&lt;=1,C40*F22*'数据-取费表'!B20/2,C40*(POWER((1+F22),'数据-取费表'!B20/2)-1)),4)</f>
        <v>1E-3</v>
      </c>
      <c r="D44" s="282"/>
      <c r="E44" s="282"/>
      <c r="F44" s="283"/>
      <c r="G44" s="3169"/>
    </row>
    <row r="45" spans="1:7" s="258" customFormat="1" ht="13.5" customHeight="1">
      <c r="A45" s="299" t="s">
        <v>2409</v>
      </c>
      <c r="B45" s="288" t="s">
        <v>2375</v>
      </c>
      <c r="C45" s="289">
        <f ca="1">C46</f>
        <v>57376022</v>
      </c>
      <c r="D45" s="279">
        <f ca="1">C47</f>
        <v>3.0000000000000001E-3</v>
      </c>
      <c r="E45" s="280" t="s">
        <v>2401</v>
      </c>
      <c r="F45" s="290"/>
      <c r="G45" s="291" t="s">
        <v>2410</v>
      </c>
    </row>
    <row r="46" spans="1:7" s="258" customFormat="1" ht="13.5" customHeight="1">
      <c r="A46" s="951" t="s">
        <v>791</v>
      </c>
      <c r="B46" s="292" t="s">
        <v>2411</v>
      </c>
      <c r="C46" s="293">
        <f ca="1">ROUND((C33+C39)*F27,0)</f>
        <v>57376022</v>
      </c>
      <c r="D46" s="307"/>
      <c r="E46" s="280"/>
      <c r="F46" s="290"/>
      <c r="G46" s="291"/>
    </row>
    <row r="47" spans="1:7" s="258" customFormat="1" ht="13.5" customHeight="1">
      <c r="A47" s="951" t="s">
        <v>792</v>
      </c>
      <c r="B47" s="292" t="s">
        <v>2412</v>
      </c>
      <c r="C47" s="282">
        <f ca="1">ROUND(C40*F27,4)</f>
        <v>3.0000000000000001E-3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496425606</v>
      </c>
      <c r="D49" s="276"/>
      <c r="E49" s="276"/>
      <c r="F49" s="308"/>
      <c r="G49" s="278" t="s">
        <v>2416</v>
      </c>
    </row>
    <row r="50" spans="1:7" s="302" customFormat="1">
      <c r="A50" s="299" t="s">
        <v>2417</v>
      </c>
      <c r="B50" s="254" t="s">
        <v>2418</v>
      </c>
      <c r="C50" s="276"/>
      <c r="D50" s="276"/>
      <c r="E50" s="276"/>
      <c r="F50" s="308">
        <f>IF('数据-取费表'!B24=0,'数据-取费表'!N16,1)</f>
        <v>0.87</v>
      </c>
      <c r="G50" s="291"/>
    </row>
    <row r="51" spans="1:7" ht="16.5" customHeight="1">
      <c r="A51" s="299" t="s">
        <v>2420</v>
      </c>
      <c r="B51" s="254" t="s">
        <v>2455</v>
      </c>
      <c r="C51" s="276">
        <f ca="1">ROUND(C49*F50,0)</f>
        <v>431890277</v>
      </c>
      <c r="D51" s="276"/>
      <c r="E51" s="276"/>
      <c r="F51" s="308"/>
      <c r="G51" s="278" t="s">
        <v>2422</v>
      </c>
    </row>
    <row r="52" spans="1:7" s="252" customFormat="1" ht="16.5" thickBot="1">
      <c r="A52" s="309" t="s">
        <v>2423</v>
      </c>
      <c r="B52" s="310"/>
      <c r="C52" s="311">
        <f ca="1">C31+C51</f>
        <v>460176491</v>
      </c>
      <c r="D52" s="310"/>
      <c r="E52" s="310"/>
      <c r="F52" s="310"/>
      <c r="G52" s="312"/>
    </row>
    <row r="55" spans="1:7" ht="15">
      <c r="B55" s="314" t="s">
        <v>2424</v>
      </c>
      <c r="C55" s="315"/>
    </row>
    <row r="56" spans="1:7">
      <c r="B56" s="317" t="s">
        <v>1507</v>
      </c>
      <c r="C56" s="319">
        <f ca="1">1-C57</f>
        <v>6.1000000000000054E-2</v>
      </c>
    </row>
    <row r="57" spans="1:7">
      <c r="B57" s="317" t="s">
        <v>1508</v>
      </c>
      <c r="C57" s="318">
        <f ca="1">ROUND(C51/C52,3)</f>
        <v>0.93899999999999995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4.75">
      <c r="A5" s="957" t="s">
        <v>2460</v>
      </c>
      <c r="B5" s="958" t="s">
        <v>2461</v>
      </c>
      <c r="C5" s="2551" t="s">
        <v>2462</v>
      </c>
      <c r="D5" s="2551" t="s">
        <v>2463</v>
      </c>
      <c r="E5" s="2551" t="s">
        <v>2464</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1329</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2478</v>
      </c>
      <c r="C12" s="24">
        <f ca="1">ROUND(C11*F12,0)</f>
        <v>0</v>
      </c>
      <c r="D12" s="973"/>
      <c r="E12" s="375"/>
      <c r="F12" s="976">
        <f>'数据-取费表'!B33</f>
        <v>0.03</v>
      </c>
      <c r="G12" s="8" t="s">
        <v>2479</v>
      </c>
      <c r="H12" s="968"/>
      <c r="I12" s="968"/>
      <c r="J12" s="968"/>
      <c r="K12" s="969"/>
    </row>
    <row r="13" spans="1:33" s="975" customFormat="1" ht="13.5" customHeight="1">
      <c r="A13" s="971" t="s">
        <v>1331</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1332</v>
      </c>
      <c r="B14" s="972" t="s">
        <v>2482</v>
      </c>
      <c r="C14" s="24">
        <f ca="1">ROUND(D14*E14*F11/10000,0)</f>
        <v>0</v>
      </c>
      <c r="D14" s="1033">
        <f ca="1">IF(C1="",'数据-汇总表'!E3,INDIRECT("'数据-取费表'!K"&amp;$K$1)+INDIRECT("'数据-取费表'!S"&amp;$K$1))</f>
        <v>51328.59</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51328.59</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2489</v>
      </c>
      <c r="C18" s="24">
        <f ca="1">C19+C20-IF(C1="",'数据-取费表'!B29,IF(G18="已全部缴纳",C19+C20,H18))</f>
        <v>0</v>
      </c>
      <c r="D18" s="1033"/>
      <c r="E18" s="24"/>
      <c r="F18" s="976"/>
      <c r="G18" s="2553"/>
      <c r="H18" s="1577"/>
      <c r="I18" s="2554"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2492</v>
      </c>
      <c r="C20" s="24">
        <f ca="1">ROUND(D20*E20/10000,0)</f>
        <v>1027</v>
      </c>
      <c r="D20" s="1033">
        <f ca="1">IF(C1="",'数据-汇总表'!E6,IF(INDIRECT("'数据-取费表'!c"&amp;$K$1)="住宅",INDIRECT("'数据-取费表'!s"&amp;$K$1),INDIRECT("'数据-取费表'!k"&amp;$K$1)+INDIRECT("'数据-取费表'!s"&amp;$K$1)))</f>
        <v>51328.59</v>
      </c>
      <c r="E20" s="24">
        <f>'数据-取费表'!B28</f>
        <v>200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0.02</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2506</v>
      </c>
      <c r="B28" s="2556" t="s">
        <v>2507</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57" t="s">
        <v>2511</v>
      </c>
      <c r="B31" s="1005" t="s">
        <v>2512</v>
      </c>
      <c r="C31" s="1006">
        <f>ROUND(C4*F31/(1+'数据-取费表'!C42),0)</f>
        <v>0</v>
      </c>
      <c r="D31" s="1007"/>
      <c r="E31" s="1008"/>
      <c r="F31" s="1009">
        <f>'数据-取费表'!B41</f>
        <v>5.6000000000000001E-2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3" zoomScale="80" zoomScaleNormal="80" zoomScaleSheetLayoutView="96" workbookViewId="0">
      <selection activeCell="F54" sqref="F54"/>
    </sheetView>
  </sheetViews>
  <sheetFormatPr defaultColWidth="12" defaultRowHeight="12.75"/>
  <cols>
    <col min="1" max="1" width="9.75" style="2785" customWidth="1"/>
    <col min="2" max="2" width="19.25" style="2890"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2" customWidth="1"/>
    <col min="33" max="36" width="9.375" style="2785" customWidth="1"/>
    <col min="37" max="38" width="9.375" style="2717" customWidth="1"/>
    <col min="39" max="16384" width="12" style="2717"/>
  </cols>
  <sheetData>
    <row r="1" spans="1:36" ht="28.5">
      <c r="A1" s="240" t="s">
        <v>2801</v>
      </c>
      <c r="B1" s="241"/>
      <c r="C1" s="245" t="s">
        <v>2802</v>
      </c>
      <c r="D1" s="388">
        <f>SUM(D29:D30,D33:D39)</f>
        <v>51328.59</v>
      </c>
      <c r="E1" s="2714"/>
      <c r="F1" s="2714"/>
      <c r="G1" s="2714"/>
      <c r="H1" s="2714"/>
      <c r="I1" s="2714"/>
      <c r="J1" s="2714"/>
      <c r="K1" s="1370"/>
      <c r="L1" s="2715" t="s">
        <v>2803</v>
      </c>
      <c r="M1" s="1080">
        <f>SUMPRODUCT((区片价!B5:B9=I2)*(区片价!C3:F3=E2)*(区片价!C5:F9))</f>
        <v>0</v>
      </c>
      <c r="N1" s="1083">
        <f>SUMPRODUCT((因素修正幅度!B5:B9=I2)*(因素修正幅度!C3:F3=E2)*(因素修正幅度!C5:F9))</f>
        <v>0</v>
      </c>
      <c r="O1" s="2716"/>
      <c r="P1" s="2716"/>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f ca="1">C26</f>
        <v>120565</v>
      </c>
      <c r="C2" s="2718" t="s">
        <v>2810</v>
      </c>
      <c r="D2" s="2719" t="s">
        <v>2811</v>
      </c>
      <c r="E2" s="2720" t="s">
        <v>1372</v>
      </c>
      <c r="F2" s="2719" t="s">
        <v>2812</v>
      </c>
      <c r="G2" s="2721" t="str">
        <f>IF(E2="商业",项目基本情况!B37,IF(E2="办公",项目基本情况!C37,IF(E2="住宅",项目基本情况!D37,项目基本情况!E37)))</f>
        <v>二级</v>
      </c>
      <c r="H2" s="2719" t="s">
        <v>2813</v>
      </c>
      <c r="I2" s="2721" t="str">
        <f>IF(E2="商业",项目基本情况!B38,IF(E2="办公",项目基本情况!C38,IF(E2="住宅",项目基本情况!D38,项目基本情况!E38)))</f>
        <v>Ⅱ—13</v>
      </c>
      <c r="J2" s="2722"/>
      <c r="K2" s="1370"/>
      <c r="L2" s="2723" t="s">
        <v>2814</v>
      </c>
      <c r="M2" s="1081">
        <f>SUMPRODUCT((区片价!B10:B28=I2)*(区片价!C3:F3=E2)*(区片价!C10:F28))</f>
        <v>26530</v>
      </c>
      <c r="N2" s="1083">
        <f>SUMPRODUCT((因素修正幅度!B10:B28=I2)*(因素修正幅度!C3:F3=E2)*(因素修正幅度!C10:F28))</f>
        <v>0.08</v>
      </c>
      <c r="O2" s="1370"/>
      <c r="P2" s="1370"/>
      <c r="Q2" s="1370"/>
      <c r="R2" s="1602">
        <v>1</v>
      </c>
      <c r="S2" s="1602">
        <f>ROUND(IF(G3&gt;1,IF(R2&lt;7,SUMPRODUCT((B93:B98=R2)*(C92:N92=G2)*(C93:N98)),SUMIF(C92:N92,G2,C100:N100)),IF(R2&lt;7,SUMPRODUCT((B102:B107=R2)*(C92:N92=G2)*(C102:N107)),SUMIF(C92:N92,G2,C109:N109))),4)</f>
        <v>1.9361999999999999</v>
      </c>
      <c r="T2" s="1602">
        <f ca="1">ROUND($C$5*$C$18*$C$19*$C$20*S2*$C$24,0)</f>
        <v>62317</v>
      </c>
      <c r="U2" s="1603"/>
      <c r="V2" s="1602">
        <f ca="1">ROUND(T2*U2/10000,0)</f>
        <v>0</v>
      </c>
      <c r="W2" s="1606"/>
      <c r="X2" s="1606"/>
      <c r="Y2" s="1606"/>
      <c r="Z2" s="1606"/>
      <c r="AA2" s="1606"/>
      <c r="AB2" s="1606"/>
      <c r="AC2" s="1607"/>
      <c r="AD2" s="1608"/>
      <c r="AE2" s="1608"/>
      <c r="AF2" s="1608"/>
      <c r="AG2" s="1608"/>
      <c r="AH2" s="1608"/>
      <c r="AI2" s="1608"/>
      <c r="AJ2" s="1609"/>
    </row>
    <row r="3" spans="1:36" ht="15.75">
      <c r="A3" s="247" t="s">
        <v>2815</v>
      </c>
      <c r="B3" s="248">
        <f ca="1">ROUND(B2*10000/D1,0)</f>
        <v>23489</v>
      </c>
      <c r="C3" s="2718" t="s">
        <v>2816</v>
      </c>
      <c r="D3" s="2719" t="s">
        <v>2817</v>
      </c>
      <c r="E3" s="2724" t="s">
        <v>3067</v>
      </c>
      <c r="F3" s="2725" t="s">
        <v>2818</v>
      </c>
      <c r="G3" s="916">
        <f>IF(F3="宗地容积率",'数据-汇总表'!I4,IF(F3="估价对象容积率",'数据-汇总表'!I6,'数据-汇总表'!I7))</f>
        <v>4.38</v>
      </c>
      <c r="H3" s="198" t="s">
        <v>2819</v>
      </c>
      <c r="I3" s="944"/>
      <c r="J3" s="2722" t="s">
        <v>2820</v>
      </c>
      <c r="K3" s="1370"/>
      <c r="L3" s="2723"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1.4198</v>
      </c>
      <c r="T3" s="1602">
        <f t="shared" ref="T3:T16" ca="1" si="0">ROUND($C$5*$C$18*$C$19*$C$20*S3*$C$24,0)</f>
        <v>45697</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86"/>
      <c r="B4" s="3187"/>
      <c r="C4" s="3187"/>
      <c r="D4" s="3188"/>
      <c r="E4" s="3188"/>
      <c r="F4" s="3188"/>
      <c r="G4" s="3188"/>
      <c r="H4" s="3188"/>
      <c r="I4" s="3188"/>
      <c r="J4" s="3189"/>
      <c r="K4" s="1370"/>
      <c r="L4" s="2723"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1.1594</v>
      </c>
      <c r="T4" s="1602">
        <f t="shared" ca="1" si="0"/>
        <v>37316</v>
      </c>
      <c r="U4" s="1603"/>
      <c r="V4" s="1602">
        <f t="shared" ca="1" si="1"/>
        <v>0</v>
      </c>
      <c r="W4" s="1606"/>
      <c r="X4" s="1606"/>
      <c r="Y4" s="1606"/>
      <c r="Z4" s="1606"/>
      <c r="AA4" s="1606"/>
      <c r="AB4" s="1606"/>
      <c r="AC4" s="1607"/>
      <c r="AD4" s="1608"/>
      <c r="AE4" s="1608"/>
      <c r="AF4" s="1608"/>
      <c r="AG4" s="1608"/>
      <c r="AH4" s="1608"/>
      <c r="AI4" s="1608"/>
      <c r="AJ4" s="1609"/>
    </row>
    <row r="5" spans="1:36" s="2735" customFormat="1" ht="15.75" thickBot="1">
      <c r="A5" s="2726" t="s">
        <v>807</v>
      </c>
      <c r="B5" s="2727" t="s">
        <v>2823</v>
      </c>
      <c r="C5" s="917">
        <f>ROUND(IF(E2="商业",C6*C7+C16,(IF(E2="住宅",C6*C12+C16,C6+C16))),0)</f>
        <v>26513</v>
      </c>
      <c r="D5" s="1786">
        <f>ROUND(C6+C16,0)</f>
        <v>26513</v>
      </c>
      <c r="E5" s="1786"/>
      <c r="F5" s="2728"/>
      <c r="G5" s="2729"/>
      <c r="H5" s="2729"/>
      <c r="I5" s="2729"/>
      <c r="J5" s="2730"/>
      <c r="K5" s="2731"/>
      <c r="L5" s="2723"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0.96220000000000006</v>
      </c>
      <c r="T5" s="1602">
        <f t="shared" ca="1" si="0"/>
        <v>30969</v>
      </c>
      <c r="U5" s="1603"/>
      <c r="V5" s="1602">
        <f t="shared" ca="1" si="1"/>
        <v>0</v>
      </c>
      <c r="W5" s="1606"/>
      <c r="X5" s="1606"/>
      <c r="Y5" s="1606"/>
      <c r="Z5" s="1606"/>
      <c r="AA5" s="1606"/>
      <c r="AB5" s="1606"/>
      <c r="AC5" s="2732"/>
      <c r="AD5" s="2733"/>
      <c r="AE5" s="2733"/>
      <c r="AF5" s="2733"/>
      <c r="AG5" s="2733"/>
      <c r="AH5" s="2733"/>
      <c r="AI5" s="2733"/>
      <c r="AJ5" s="2734"/>
    </row>
    <row r="6" spans="1:36" ht="15.75" thickBot="1">
      <c r="A6" s="2736" t="s">
        <v>2825</v>
      </c>
      <c r="B6" s="2737" t="s">
        <v>2826</v>
      </c>
      <c r="C6" s="918">
        <f>SUMIF(L1:L12,G2,M1:M12)</f>
        <v>26530</v>
      </c>
      <c r="D6" s="2738" t="s">
        <v>2827</v>
      </c>
      <c r="E6" s="2739"/>
      <c r="F6" s="2739"/>
      <c r="G6" s="2740"/>
      <c r="H6" s="2740"/>
      <c r="I6" s="2740"/>
      <c r="J6" s="2741"/>
      <c r="K6" s="1841"/>
      <c r="L6" s="2723"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0.8417</v>
      </c>
      <c r="T6" s="1602">
        <f t="shared" ca="1" si="0"/>
        <v>27090</v>
      </c>
      <c r="U6" s="1603"/>
      <c r="V6" s="1602">
        <f t="shared" ca="1" si="1"/>
        <v>0</v>
      </c>
      <c r="W6" s="1606"/>
      <c r="X6" s="1606"/>
      <c r="Y6" s="1606"/>
      <c r="Z6" s="1606"/>
      <c r="AA6" s="1606"/>
      <c r="AB6" s="1606"/>
      <c r="AC6" s="2732"/>
      <c r="AD6" s="2733"/>
      <c r="AE6" s="2733"/>
      <c r="AF6" s="2733"/>
      <c r="AG6" s="2733"/>
      <c r="AH6" s="2733"/>
      <c r="AI6" s="2733"/>
      <c r="AJ6" s="2734"/>
    </row>
    <row r="7" spans="1:36" ht="24">
      <c r="A7" s="3170" t="str">
        <f>IF(E2="商业",IF(C8="不临58条商业街","",2),"")</f>
        <v/>
      </c>
      <c r="B7" s="2742" t="s">
        <v>2829</v>
      </c>
      <c r="C7" s="919">
        <f>IF(C8="不临58条商业街",1,ROUND(1+(1.6*E8+1.2*E9+0.8*E10+0.4*E11)*C9,4))</f>
        <v>1</v>
      </c>
      <c r="D7" s="2743" t="s">
        <v>2830</v>
      </c>
      <c r="E7" s="945"/>
      <c r="F7" s="2744"/>
      <c r="G7" s="2745"/>
      <c r="H7" s="2745"/>
      <c r="I7" s="2745"/>
      <c r="J7" s="2746"/>
      <c r="K7" s="1841"/>
      <c r="L7" s="2723"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0.76080000000000003</v>
      </c>
      <c r="T7" s="1602">
        <f t="shared" ca="1" si="0"/>
        <v>24487</v>
      </c>
      <c r="U7" s="1603"/>
      <c r="V7" s="1602">
        <f t="shared" ca="1" si="1"/>
        <v>0</v>
      </c>
      <c r="W7" s="1815" t="s">
        <v>2832</v>
      </c>
      <c r="X7" s="1604" t="str">
        <f>G2</f>
        <v>二级</v>
      </c>
      <c r="Y7" s="1604" t="s">
        <v>2833</v>
      </c>
      <c r="Z7" s="1605">
        <f>G3</f>
        <v>4.38</v>
      </c>
      <c r="AA7" s="1606"/>
      <c r="AB7" s="1606"/>
      <c r="AC7" s="1607"/>
      <c r="AD7" s="1608"/>
      <c r="AE7" s="1608"/>
      <c r="AF7" s="1608"/>
      <c r="AG7" s="1608"/>
      <c r="AH7" s="1608"/>
      <c r="AI7" s="1608"/>
      <c r="AJ7" s="1609"/>
    </row>
    <row r="8" spans="1:36" ht="25.5">
      <c r="A8" s="3190"/>
      <c r="B8" s="198" t="s">
        <v>2834</v>
      </c>
      <c r="C8" s="2747" t="s">
        <v>3068</v>
      </c>
      <c r="D8" s="920" t="s">
        <v>139</v>
      </c>
      <c r="E8" s="921" t="e">
        <f>ROUND(C11/E7,4)</f>
        <v>#DIV/0!</v>
      </c>
      <c r="F8" s="2748" t="s">
        <v>2835</v>
      </c>
      <c r="G8" s="2749"/>
      <c r="H8" s="2749"/>
      <c r="I8" s="2749"/>
      <c r="J8" s="2750"/>
      <c r="K8" s="1370"/>
      <c r="L8" s="2723"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83" t="s">
        <v>2837</v>
      </c>
      <c r="X8" s="3184"/>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190"/>
      <c r="B9" s="198" t="s">
        <v>2850</v>
      </c>
      <c r="C9" s="922">
        <f>SUMIF(修正!C59:C119,C8,修正!E59:E119)</f>
        <v>0</v>
      </c>
      <c r="D9" s="200" t="s">
        <v>140</v>
      </c>
      <c r="E9" s="200" t="e">
        <f>ROUND(C11/E7,4)</f>
        <v>#DIV/0!</v>
      </c>
      <c r="F9" s="2748" t="s">
        <v>2851</v>
      </c>
      <c r="G9" s="2749"/>
      <c r="H9" s="2749"/>
      <c r="I9" s="2749"/>
      <c r="J9" s="2750"/>
      <c r="K9" s="1370"/>
      <c r="L9" s="2723"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85" t="s">
        <v>2853</v>
      </c>
      <c r="X9" s="1611" t="s">
        <v>2854</v>
      </c>
      <c r="Y9" s="1771"/>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90"/>
      <c r="B10" s="198" t="s">
        <v>2855</v>
      </c>
      <c r="C10" s="200">
        <f>SUMIF(修正!C59:C119,C8,修正!F59:F119)</f>
        <v>0</v>
      </c>
      <c r="D10" s="200" t="s">
        <v>141</v>
      </c>
      <c r="E10" s="200" t="e">
        <f>ROUND(C11/E7,4)</f>
        <v>#DIV/0!</v>
      </c>
      <c r="F10" s="2748" t="s">
        <v>2856</v>
      </c>
      <c r="G10" s="2749"/>
      <c r="H10" s="2749"/>
      <c r="I10" s="2749"/>
      <c r="J10" s="2750"/>
      <c r="K10" s="1370"/>
      <c r="L10" s="2723"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8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90"/>
      <c r="B11" s="2751" t="s">
        <v>2858</v>
      </c>
      <c r="C11" s="923">
        <f>C10/4</f>
        <v>0</v>
      </c>
      <c r="D11" s="923" t="s">
        <v>142</v>
      </c>
      <c r="E11" s="923" t="e">
        <f>ROUND(C11/E7,4)</f>
        <v>#DIV/0!</v>
      </c>
      <c r="F11" s="2752" t="s">
        <v>2859</v>
      </c>
      <c r="G11" s="2753"/>
      <c r="H11" s="2753"/>
      <c r="I11" s="2753"/>
      <c r="J11" s="2754"/>
      <c r="K11" s="1370"/>
      <c r="L11" s="2723"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85" t="s">
        <v>2861</v>
      </c>
      <c r="X11" s="1614" t="s">
        <v>2862</v>
      </c>
      <c r="Y11" s="1615">
        <f>$G$3</f>
        <v>4.38</v>
      </c>
      <c r="Z11" s="1615">
        <f t="shared" ref="Z11:AJ11" si="3">$G$3</f>
        <v>4.38</v>
      </c>
      <c r="AA11" s="1615">
        <f t="shared" si="3"/>
        <v>4.38</v>
      </c>
      <c r="AB11" s="1615">
        <f t="shared" si="3"/>
        <v>4.38</v>
      </c>
      <c r="AC11" s="1615">
        <f t="shared" si="3"/>
        <v>4.38</v>
      </c>
      <c r="AD11" s="1615">
        <f t="shared" si="3"/>
        <v>4.38</v>
      </c>
      <c r="AE11" s="1615">
        <f t="shared" si="3"/>
        <v>4.38</v>
      </c>
      <c r="AF11" s="1615">
        <f t="shared" si="3"/>
        <v>4.38</v>
      </c>
      <c r="AG11" s="1615">
        <f t="shared" si="3"/>
        <v>4.38</v>
      </c>
      <c r="AH11" s="1615">
        <f t="shared" si="3"/>
        <v>4.38</v>
      </c>
      <c r="AI11" s="1615">
        <f t="shared" si="3"/>
        <v>4.38</v>
      </c>
      <c r="AJ11" s="1615">
        <f t="shared" si="3"/>
        <v>4.38</v>
      </c>
    </row>
    <row r="12" spans="1:36" ht="25.5" thickBot="1">
      <c r="A12" s="3170" t="s">
        <v>2863</v>
      </c>
      <c r="B12" s="2755" t="s">
        <v>2864</v>
      </c>
      <c r="C12" s="919">
        <f>ROUND(C15*D15*E15*F15*G15*H15*I15*J15,4)</f>
        <v>1.32</v>
      </c>
      <c r="D12" s="2756" t="s">
        <v>2865</v>
      </c>
      <c r="E12" s="2757"/>
      <c r="F12" s="2757"/>
      <c r="G12" s="2758"/>
      <c r="H12" s="2758"/>
      <c r="I12" s="2758"/>
      <c r="J12" s="2759"/>
      <c r="K12" s="1370"/>
      <c r="L12" s="2760"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85"/>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91"/>
      <c r="B13" s="2761" t="s">
        <v>2868</v>
      </c>
      <c r="C13" s="2762" t="s">
        <v>2869</v>
      </c>
      <c r="D13" s="1807" t="s">
        <v>2870</v>
      </c>
      <c r="E13" s="1807" t="s">
        <v>2871</v>
      </c>
      <c r="F13" s="30" t="s">
        <v>2872</v>
      </c>
      <c r="G13" s="2763" t="s">
        <v>2873</v>
      </c>
      <c r="H13" s="2763" t="s">
        <v>2873</v>
      </c>
      <c r="I13" s="2763" t="s">
        <v>2873</v>
      </c>
      <c r="J13" s="2764" t="s">
        <v>2873</v>
      </c>
      <c r="K13" s="1370"/>
      <c r="L13" s="1370"/>
      <c r="M13" s="1370"/>
      <c r="N13" s="1370"/>
      <c r="O13" s="1370"/>
      <c r="P13" s="1370"/>
      <c r="Q13" s="1370"/>
      <c r="R13" s="1602">
        <v>12</v>
      </c>
      <c r="S13" s="1603"/>
      <c r="T13" s="1602">
        <f t="shared" ca="1" si="0"/>
        <v>0</v>
      </c>
      <c r="U13" s="1603"/>
      <c r="V13" s="1602">
        <f t="shared" ca="1" si="1"/>
        <v>0</v>
      </c>
      <c r="W13" s="3185"/>
      <c r="X13" s="1616"/>
      <c r="Y13" s="1613">
        <f>(-0.163*(Y12^2)-0.59*Y12+7617)*(10^(-4))/Y11</f>
        <v>0.17390410958904112</v>
      </c>
      <c r="Z13" s="1613">
        <f t="shared" ref="Z13:AJ13" si="5">(-0.163*(Z12^2)-0.59*Z12+7617)*(10^(-4))/Z11</f>
        <v>0.17390410958904112</v>
      </c>
      <c r="AA13" s="1613">
        <f t="shared" si="5"/>
        <v>0.17390410958904112</v>
      </c>
      <c r="AB13" s="1613">
        <f t="shared" si="5"/>
        <v>0.17390410958904112</v>
      </c>
      <c r="AC13" s="1613">
        <f t="shared" si="5"/>
        <v>0.17390410958904112</v>
      </c>
      <c r="AD13" s="1613">
        <f t="shared" si="5"/>
        <v>0.17390410958904112</v>
      </c>
      <c r="AE13" s="1613">
        <f t="shared" si="5"/>
        <v>0.17390410958904112</v>
      </c>
      <c r="AF13" s="1613">
        <f t="shared" si="5"/>
        <v>0.17390410958904112</v>
      </c>
      <c r="AG13" s="1613">
        <f t="shared" si="5"/>
        <v>0.17390410958904112</v>
      </c>
      <c r="AH13" s="1613">
        <f t="shared" si="5"/>
        <v>0.17390410958904112</v>
      </c>
      <c r="AI13" s="1613">
        <f t="shared" si="5"/>
        <v>0.17390410958904112</v>
      </c>
      <c r="AJ13" s="1613">
        <f t="shared" si="5"/>
        <v>0.17390410958904112</v>
      </c>
    </row>
    <row r="14" spans="1:36" ht="15">
      <c r="A14" s="3191"/>
      <c r="B14" s="2765"/>
      <c r="C14" s="2766" t="s">
        <v>3069</v>
      </c>
      <c r="D14" s="2767" t="s">
        <v>3070</v>
      </c>
      <c r="E14" s="2767" t="s">
        <v>3070</v>
      </c>
      <c r="F14" s="2768" t="s">
        <v>3071</v>
      </c>
      <c r="G14" s="2769" t="s">
        <v>2874</v>
      </c>
      <c r="H14" s="2770"/>
      <c r="I14" s="2771"/>
      <c r="J14" s="2772"/>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92"/>
      <c r="B15" s="2773" t="s">
        <v>2875</v>
      </c>
      <c r="C15" s="229">
        <f>IF(C14="有",1.1,1)</f>
        <v>1.1000000000000001</v>
      </c>
      <c r="D15" s="229">
        <f>IF(D14="有",1.1,1)</f>
        <v>1</v>
      </c>
      <c r="E15" s="229">
        <f>IF(E14="有",1.1,1)</f>
        <v>1</v>
      </c>
      <c r="F15" s="229">
        <f>IF(F14="500米范围内",1.2,IF(F14="500-1000米",1.1,1))</f>
        <v>1.2</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70" t="s">
        <v>2880</v>
      </c>
      <c r="B16" s="2742" t="s">
        <v>2881</v>
      </c>
      <c r="C16" s="2928">
        <f>ROUND(IF(F17="与级别开发程度一致",0,(G17-E17)/C17),0)</f>
        <v>-17</v>
      </c>
      <c r="D16" s="3181" t="s">
        <v>2885</v>
      </c>
      <c r="E16" s="3182"/>
      <c r="F16" s="3181" t="s">
        <v>2882</v>
      </c>
      <c r="G16" s="3182"/>
      <c r="H16" s="2776" t="s">
        <v>3072</v>
      </c>
      <c r="I16" s="2776" t="s">
        <v>3073</v>
      </c>
      <c r="J16" s="2932" t="s">
        <v>3074</v>
      </c>
      <c r="K16" s="2776" t="s">
        <v>3075</v>
      </c>
      <c r="L16" s="2776" t="s">
        <v>3076</v>
      </c>
      <c r="M16" s="2776" t="s">
        <v>3077</v>
      </c>
      <c r="N16" s="2776" t="s">
        <v>3078</v>
      </c>
      <c r="O16" s="2777"/>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71"/>
      <c r="B17" s="2939" t="s">
        <v>2884</v>
      </c>
      <c r="C17" s="2940">
        <f>SUMPRODUCT((修正!A2:A5=E2)*(修正!B1:M1=G2)*(修正!B2:M5))</f>
        <v>3.5</v>
      </c>
      <c r="D17" s="229" t="str">
        <f>IF(OR(G2="八级",G2="九级",G2="十级",G2="十一级",G2="十二级"),"五通一平","七通一平")</f>
        <v>七通一平</v>
      </c>
      <c r="E17" s="2929">
        <f>SUMPRODUCT((修正!B1:M1=G2)*(修正!B15:M15))</f>
        <v>375</v>
      </c>
      <c r="F17" s="2930" t="s">
        <v>3079</v>
      </c>
      <c r="G17" s="2931">
        <f>SUM(H17:O17)</f>
        <v>315</v>
      </c>
      <c r="H17" s="2940">
        <f>SUMPRODUCT((七通一平=H16)*(修正!B1:M1=G2)*(修正!B6:M14))</f>
        <v>80</v>
      </c>
      <c r="I17" s="2940">
        <f>SUMPRODUCT((七通一平=I16)*(修正!B1:M1=G2)*(修正!B6:M14))</f>
        <v>70</v>
      </c>
      <c r="J17" s="2941">
        <f>SUMPRODUCT((七通一平=J16)*(修正!B1:M1=G2)*(修正!B6:M14))</f>
        <v>20</v>
      </c>
      <c r="K17" s="2940">
        <f>SUMPRODUCT((七通一平=K16)*(修正!B1:M1=G2)*(修正!B6:M14))</f>
        <v>30</v>
      </c>
      <c r="L17" s="2940">
        <f>SUMPRODUCT((七通一平=L16)*(修正!B1:M1=G2)*(修正!B6:M14))</f>
        <v>45</v>
      </c>
      <c r="M17" s="2940">
        <f>SUMPRODUCT((七通一平=M16)*(修正!B1:M1=G2)*(修正!B6:M14))</f>
        <v>50</v>
      </c>
      <c r="N17" s="2940">
        <f>SUMPRODUCT((七通一平=N16)*(修正!B1:M1=G2)*(修正!B6:M14))</f>
        <v>20</v>
      </c>
      <c r="O17" s="2942">
        <f>SUMPRODUCT((七通一平=O16)*(修正!B1:M1=G2)*(修正!B6:M14))</f>
        <v>0</v>
      </c>
      <c r="Q17" s="1370"/>
      <c r="R17" s="1370"/>
      <c r="S17" s="1370"/>
      <c r="T17" s="1370"/>
      <c r="U17" s="1370"/>
      <c r="V17" s="1370"/>
      <c r="W17" s="1370"/>
      <c r="X17" s="1370"/>
      <c r="Y17" s="1370"/>
      <c r="Z17" s="1371"/>
      <c r="AE17" s="2780"/>
      <c r="AF17" s="2780"/>
      <c r="AG17" s="2717"/>
      <c r="AH17" s="2717"/>
      <c r="AI17" s="2717"/>
      <c r="AJ17" s="2717"/>
    </row>
    <row r="18" spans="1:37" s="2735" customFormat="1" ht="15.75" thickBot="1">
      <c r="A18" s="2933" t="s">
        <v>808</v>
      </c>
      <c r="B18" s="2934" t="s">
        <v>2887</v>
      </c>
      <c r="C18" s="2935">
        <f>SUMIF(修正!C18:C39,E3,修正!E18:E39)</f>
        <v>0.9</v>
      </c>
      <c r="D18" s="2936"/>
      <c r="E18" s="2937"/>
      <c r="F18" s="2937"/>
      <c r="G18" s="2937"/>
      <c r="H18" s="2937"/>
      <c r="I18" s="2937"/>
      <c r="J18" s="2938"/>
      <c r="K18" s="1377"/>
      <c r="O18" s="1375"/>
      <c r="P18" s="1375"/>
      <c r="Q18" s="1376"/>
      <c r="R18" s="1376"/>
      <c r="S18" s="1376"/>
      <c r="T18" s="1371"/>
      <c r="U18" s="1371"/>
      <c r="V18" s="1371"/>
      <c r="W18" s="1370"/>
      <c r="X18" s="1370"/>
      <c r="Y18" s="1370"/>
      <c r="Z18" s="1377"/>
      <c r="AA18" s="1378"/>
      <c r="AB18" s="1378"/>
      <c r="AC18" s="1378"/>
      <c r="AD18" s="1378"/>
      <c r="AE18" s="1372"/>
      <c r="AF18" s="1372"/>
      <c r="AG18" s="2785"/>
      <c r="AH18" s="2785"/>
      <c r="AI18" s="2785"/>
    </row>
    <row r="19" spans="1:37" s="2735" customFormat="1" ht="29.25" thickBot="1">
      <c r="A19" s="2781" t="s">
        <v>809</v>
      </c>
      <c r="B19" s="2782" t="s">
        <v>2888</v>
      </c>
      <c r="C19" s="924">
        <f>ROUND(IF(H19="按公示增长率计算",SUMPRODUCT((地价!A3:A29=YEAR(G19)&amp;"-"&amp;ROUNDUP(MONTH(G19)/3,0))*(地价!X2:AB2=E2)*(地价!X3:AB29)),IF(H19="地价指数",M20/M19,(1+I19)^O19)),4)</f>
        <v>1.4295</v>
      </c>
      <c r="D19" s="2786" t="s">
        <v>2889</v>
      </c>
      <c r="E19" s="925">
        <v>41640</v>
      </c>
      <c r="F19" s="2786" t="s">
        <v>2890</v>
      </c>
      <c r="G19" s="926">
        <f>'数据-取费表'!B2</f>
        <v>43902</v>
      </c>
      <c r="H19" s="2980" t="s">
        <v>3130</v>
      </c>
      <c r="I19" s="927">
        <f>IF(H19="季度增幅（自定义）",SUMIF(N21:N24,E2,O21:O24),"")</f>
        <v>1.4999999999999999E-2</v>
      </c>
      <c r="J19" s="2784"/>
      <c r="K19" s="1377"/>
      <c r="L19" s="2787" t="s">
        <v>2891</v>
      </c>
      <c r="M19" s="1734">
        <f>ROUND(SUMIF(地价!B2:F2,E2,地价!B29:F29),0)</f>
        <v>258</v>
      </c>
      <c r="N19" s="2788" t="s">
        <v>2892</v>
      </c>
      <c r="O19" s="928">
        <f>ROUNDDOWN(DATEDIF(E19,G19,"M")/3,0)</f>
        <v>24</v>
      </c>
      <c r="P19" s="1374"/>
      <c r="Q19" s="1376"/>
      <c r="R19" s="1376"/>
      <c r="S19" s="1376"/>
      <c r="T19" s="1371"/>
      <c r="U19" s="1371"/>
      <c r="V19" s="1371"/>
      <c r="W19" s="1370"/>
      <c r="X19" s="1370"/>
      <c r="Y19" s="1370"/>
      <c r="Z19" s="1377"/>
      <c r="AA19" s="1378"/>
      <c r="AB19" s="1378"/>
      <c r="AC19" s="1378"/>
      <c r="AD19" s="1378"/>
      <c r="AE19" s="1378"/>
      <c r="AF19" s="2789"/>
      <c r="AG19" s="2790"/>
      <c r="AH19" s="2785"/>
      <c r="AI19" s="2791"/>
      <c r="AJ19" s="2791"/>
      <c r="AK19" s="2791"/>
    </row>
    <row r="20" spans="1:37" s="2735" customFormat="1" ht="27.75" thickBot="1">
      <c r="A20" s="2792" t="s">
        <v>810</v>
      </c>
      <c r="B20" s="2793" t="s">
        <v>2893</v>
      </c>
      <c r="C20" s="929">
        <f ca="1">ROUND(POWER(1+G20,J20-I20)*(POWER(1+G20,I20)-1)/(POWER(1+G20,J20)-1),4)</f>
        <v>0.90380000000000005</v>
      </c>
      <c r="D20" s="2794" t="s">
        <v>2894</v>
      </c>
      <c r="E20" s="1767">
        <f ca="1">存贷款利率!D4/100</f>
        <v>4.3499999999999997E-2</v>
      </c>
      <c r="F20" s="2794" t="s">
        <v>2886</v>
      </c>
      <c r="G20" s="934">
        <f ca="1">SUMIF(M26:P26,E2,M28:P28)</f>
        <v>5.3999999999999999E-2</v>
      </c>
      <c r="H20" s="2794" t="s">
        <v>2895</v>
      </c>
      <c r="I20" s="935">
        <f>SUMIF('数据-取费表'!C6:C15,E2,'数据-取费表'!F6:F15)/COUNTIF('数据-取费表'!C6:C15,E2)</f>
        <v>30</v>
      </c>
      <c r="J20" s="936">
        <f>IF(E2="住宅",70,IF(E2="商业",40,50))</f>
        <v>40</v>
      </c>
      <c r="K20" s="1377"/>
      <c r="L20" s="2795" t="s">
        <v>2896</v>
      </c>
      <c r="M20" s="1735">
        <f>ROUND(SUMPRODUCT((地价!A4:A29=YEAR(G19)&amp;"-"&amp;ROUNDUP(MONTH(G19)/3,0))*(地价!B2:F2=E2)*(地价!B4:F29)),0)</f>
        <v>352</v>
      </c>
      <c r="N20" s="2796" t="s">
        <v>2897</v>
      </c>
      <c r="O20" s="2797" t="s">
        <v>2898</v>
      </c>
      <c r="P20" s="2798" t="s">
        <v>2899</v>
      </c>
      <c r="R20" s="1376"/>
      <c r="S20" s="1376"/>
      <c r="T20" s="1371"/>
      <c r="U20" s="1371"/>
      <c r="V20" s="1371"/>
      <c r="W20" s="1370"/>
      <c r="X20" s="1370"/>
      <c r="Y20" s="1370"/>
      <c r="Z20" s="1377"/>
      <c r="AA20" s="1378"/>
      <c r="AB20" s="1378"/>
      <c r="AC20" s="1378"/>
      <c r="AD20" s="1378"/>
      <c r="AE20" s="1378"/>
      <c r="AF20" s="1378"/>
    </row>
    <row r="21" spans="1:37" s="2735" customFormat="1" ht="15">
      <c r="A21" s="2799" t="s">
        <v>811</v>
      </c>
      <c r="B21" s="2800" t="s">
        <v>3080</v>
      </c>
      <c r="C21" s="937">
        <f>IF(B21="容积率修正",IF(G3&lt;=10,D22,J22),C23)</f>
        <v>0.95169999999999999</v>
      </c>
      <c r="D21" s="2801"/>
      <c r="E21" s="2801"/>
      <c r="F21" s="2801"/>
      <c r="G21" s="2801"/>
      <c r="H21" s="2801"/>
      <c r="I21" s="2801"/>
      <c r="J21" s="2802"/>
      <c r="K21" s="1377"/>
      <c r="N21" s="2803" t="s">
        <v>2900</v>
      </c>
      <c r="O21" s="2979">
        <v>1.4999999999999999E-2</v>
      </c>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5" customFormat="1" ht="14.25">
      <c r="A22" s="2661" t="s">
        <v>2901</v>
      </c>
      <c r="B22" s="2804" t="s">
        <v>2902</v>
      </c>
      <c r="C22" s="1809" t="s">
        <v>2903</v>
      </c>
      <c r="D22" s="1809">
        <f>IF(E22=G22,F22,IF(G3&lt;=10,ROUND(F22+(H22-F22)*(G3-E22)/(G22-E22),4),"——"))</f>
        <v>0.95169999999999999</v>
      </c>
      <c r="E22" s="916">
        <f>ROUNDDOWN(G3,1)</f>
        <v>4.3</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0.95530000000000004</v>
      </c>
      <c r="G22" s="916">
        <f>ROUNDUP(G3,1)</f>
        <v>4.3999999999999995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0.95079999999999998</v>
      </c>
      <c r="I22" s="1809" t="s">
        <v>155</v>
      </c>
      <c r="J22" s="938" t="str">
        <f>IF(G3&gt;10,D113,"——")</f>
        <v>——</v>
      </c>
      <c r="K22" s="1377"/>
      <c r="N22" s="2803" t="s">
        <v>2904</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1" t="s">
        <v>2905</v>
      </c>
      <c r="B23" s="2805" t="s">
        <v>2906</v>
      </c>
      <c r="C23" s="1013">
        <f>ROUND(IF(G3&gt;1,IF(I3&lt;7,SUMPRODUCT((B93:B98=I3)*(C92:N92=G2)*(C93:N98)),SUMIF(C92:N92,G2,C100:N100)),IF(I3&lt;7,SUMPRODUCT((B102:B107=I3)*(C92:N92=G2)*(C102:N107)),SUMIF(C92:N92,G2,C109:N109))),4)</f>
        <v>0</v>
      </c>
      <c r="D23" s="2770"/>
      <c r="E23" s="2770"/>
      <c r="F23" s="2806"/>
      <c r="G23" s="2807"/>
      <c r="H23" s="2808"/>
      <c r="I23" s="2809"/>
      <c r="J23" s="2810"/>
      <c r="K23" s="1370"/>
      <c r="N23" s="2803" t="s">
        <v>2907</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5"/>
    </row>
    <row r="24" spans="1:37" s="2735" customFormat="1" ht="15.75" thickBot="1">
      <c r="A24" s="2792" t="s">
        <v>812</v>
      </c>
      <c r="B24" s="2782" t="s">
        <v>2908</v>
      </c>
      <c r="C24" s="924">
        <f>SUMIF(A45:A88,E2,B45:B88)</f>
        <v>1.044</v>
      </c>
      <c r="D24" s="2783"/>
      <c r="E24" s="2811"/>
      <c r="F24" s="2811"/>
      <c r="G24" s="2811"/>
      <c r="H24" s="2811"/>
      <c r="I24" s="2811"/>
      <c r="J24" s="2812"/>
      <c r="K24" s="1377"/>
      <c r="N24" s="2813" t="s">
        <v>2909</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2" t="s">
        <v>813</v>
      </c>
      <c r="B25" s="2814" t="s">
        <v>2910</v>
      </c>
      <c r="C25" s="930"/>
      <c r="D25" s="2745"/>
      <c r="E25" s="2745"/>
      <c r="F25" s="2815"/>
      <c r="G25" s="2745"/>
      <c r="H25" s="2745"/>
      <c r="I25" s="2745"/>
      <c r="J25" s="2746"/>
      <c r="K25" s="1370"/>
      <c r="N25" s="2816" t="s">
        <v>2911</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17"/>
      <c r="B26" s="2804" t="s">
        <v>2912</v>
      </c>
      <c r="C26" s="206">
        <f ca="1">E29+SUM(E33:E39)</f>
        <v>120565</v>
      </c>
      <c r="D26" s="2818"/>
      <c r="E26" s="2770"/>
      <c r="F26" s="2819"/>
      <c r="G26" s="2770"/>
      <c r="H26" s="2770"/>
      <c r="I26" s="2770"/>
      <c r="J26" s="2820"/>
      <c r="K26" s="1370"/>
      <c r="L26" s="2774" t="s">
        <v>2811</v>
      </c>
      <c r="M26" s="920" t="s">
        <v>2876</v>
      </c>
      <c r="N26" s="920" t="s">
        <v>2877</v>
      </c>
      <c r="O26" s="920" t="s">
        <v>2878</v>
      </c>
      <c r="P26" s="2775" t="s">
        <v>2879</v>
      </c>
      <c r="R26" s="1376"/>
      <c r="S26" s="1376"/>
      <c r="T26" s="1371"/>
      <c r="U26" s="1371"/>
      <c r="V26" s="1371"/>
      <c r="W26" s="1370"/>
      <c r="X26" s="1370"/>
      <c r="Y26" s="1370"/>
      <c r="Z26" s="1377"/>
      <c r="AA26" s="1378"/>
      <c r="AB26" s="1378"/>
      <c r="AC26" s="1378"/>
      <c r="AD26" s="1378"/>
    </row>
    <row r="27" spans="1:37" ht="15.75" thickBot="1">
      <c r="A27" s="2817"/>
      <c r="B27" s="2821" t="s">
        <v>2913</v>
      </c>
      <c r="C27" s="931">
        <f ca="1">E30+SUM(I33:I39)</f>
        <v>4033</v>
      </c>
      <c r="D27" s="2822"/>
      <c r="E27" s="2823"/>
      <c r="F27" s="2824"/>
      <c r="G27" s="2823"/>
      <c r="H27" s="2823"/>
      <c r="I27" s="2823"/>
      <c r="J27" s="2825"/>
      <c r="K27" s="1370"/>
      <c r="L27" s="2778"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6"/>
      <c r="B28" s="2827" t="s">
        <v>2914</v>
      </c>
      <c r="C28" s="2828" t="s">
        <v>2915</v>
      </c>
      <c r="D28" s="2828" t="s">
        <v>2916</v>
      </c>
      <c r="E28" s="2829" t="s">
        <v>2917</v>
      </c>
      <c r="F28" s="2830"/>
      <c r="G28" s="2758"/>
      <c r="H28" s="2758"/>
      <c r="I28" s="2758"/>
      <c r="J28" s="2759"/>
      <c r="K28" s="1370"/>
      <c r="L28" s="2779"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1"/>
      <c r="B29" s="2832" t="s">
        <v>2918</v>
      </c>
      <c r="C29" s="206">
        <f ca="1">ROUND(C5*C18*C19*C20*C21*C24,0)</f>
        <v>30631</v>
      </c>
      <c r="D29" s="2833">
        <f>'数据-汇总表'!F19</f>
        <v>34093.799999999996</v>
      </c>
      <c r="E29" s="942">
        <f ca="1">ROUND(C29*D29/10000,0)</f>
        <v>104433</v>
      </c>
      <c r="F29" s="2834" t="s">
        <v>2919</v>
      </c>
      <c r="G29" s="2835"/>
      <c r="H29" s="2835"/>
      <c r="I29" s="2835"/>
      <c r="J29" s="2836"/>
      <c r="K29" s="1370"/>
      <c r="L29" s="1370"/>
      <c r="M29" s="1370"/>
      <c r="N29" s="1370"/>
      <c r="O29" s="1375"/>
      <c r="P29" s="1375"/>
      <c r="Q29" s="1376"/>
      <c r="R29" s="1376"/>
      <c r="S29" s="1376"/>
      <c r="T29" s="1371"/>
      <c r="U29" s="1371"/>
      <c r="V29" s="1371"/>
      <c r="W29" s="1370"/>
      <c r="X29" s="1370"/>
      <c r="Y29" s="1370"/>
      <c r="Z29" s="1377"/>
      <c r="AA29" s="1378"/>
      <c r="AB29" s="1378"/>
      <c r="AC29" s="1378"/>
      <c r="AD29" s="1378"/>
      <c r="AE29" s="2780"/>
      <c r="AF29" s="2780"/>
      <c r="AG29" s="2717"/>
      <c r="AH29" s="2717"/>
      <c r="AI29" s="2717"/>
      <c r="AJ29" s="2717"/>
    </row>
    <row r="30" spans="1:37" ht="25.5" thickBot="1">
      <c r="A30" s="2837"/>
      <c r="B30" s="2838" t="s">
        <v>2920</v>
      </c>
      <c r="C30" s="229">
        <f ca="1">ROUND(IF(E2="工业",C29*M39,C29*M38),0)</f>
        <v>7658</v>
      </c>
      <c r="D30" s="2839"/>
      <c r="E30" s="942">
        <f ca="1">ROUND(C30*D30/10000,0)</f>
        <v>0</v>
      </c>
      <c r="F30" s="2840" t="s">
        <v>2921</v>
      </c>
      <c r="G30" s="2841"/>
      <c r="H30" s="2841"/>
      <c r="I30" s="2841"/>
      <c r="J30" s="2842"/>
      <c r="K30" s="1370"/>
      <c r="L30" s="1370"/>
      <c r="M30" s="1370"/>
      <c r="N30" s="1370"/>
      <c r="O30" s="1375"/>
      <c r="P30" s="1375"/>
      <c r="Q30" s="1376"/>
      <c r="R30" s="1376"/>
      <c r="S30" s="1376"/>
      <c r="T30" s="1371"/>
      <c r="U30" s="1371"/>
      <c r="V30" s="1371"/>
      <c r="W30" s="1370"/>
      <c r="X30" s="1370"/>
      <c r="Y30" s="1370"/>
      <c r="Z30" s="1377"/>
      <c r="AA30" s="1378"/>
      <c r="AB30" s="1378"/>
      <c r="AC30" s="1378"/>
      <c r="AD30" s="1378"/>
      <c r="AE30" s="2780"/>
      <c r="AF30" s="2780"/>
      <c r="AG30" s="2717"/>
      <c r="AH30" s="2717"/>
      <c r="AI30" s="2717"/>
      <c r="AJ30" s="2717"/>
    </row>
    <row r="31" spans="1:37" ht="14.25">
      <c r="A31" s="2843"/>
      <c r="B31" s="2844" t="s">
        <v>2922</v>
      </c>
      <c r="C31" s="2845" t="s">
        <v>2923</v>
      </c>
      <c r="D31" s="2758"/>
      <c r="E31" s="2845"/>
      <c r="F31" s="2845"/>
      <c r="G31" s="2756" t="s">
        <v>2924</v>
      </c>
      <c r="H31" s="2758"/>
      <c r="I31" s="2846"/>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0"/>
      <c r="AF31" s="2780"/>
      <c r="AG31" s="2717"/>
      <c r="AH31" s="2717"/>
      <c r="AI31" s="2717"/>
      <c r="AJ31" s="2717"/>
    </row>
    <row r="32" spans="1:37" ht="24">
      <c r="A32" s="2831"/>
      <c r="B32" s="2847"/>
      <c r="C32" s="501" t="s">
        <v>2915</v>
      </c>
      <c r="D32" s="498" t="s">
        <v>2916</v>
      </c>
      <c r="E32" s="498" t="s">
        <v>2917</v>
      </c>
      <c r="F32" s="388" t="s">
        <v>2925</v>
      </c>
      <c r="G32" s="2848" t="s">
        <v>2915</v>
      </c>
      <c r="H32" s="2848" t="s">
        <v>2916</v>
      </c>
      <c r="I32" s="2848"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0"/>
      <c r="AF32" s="2780"/>
      <c r="AG32" s="2717"/>
      <c r="AH32" s="2717"/>
      <c r="AI32" s="2717"/>
      <c r="AJ32" s="2717"/>
    </row>
    <row r="33" spans="1:37" ht="36" customHeight="1">
      <c r="A33" s="3178" t="s">
        <v>2926</v>
      </c>
      <c r="B33" s="2849" t="s">
        <v>2927</v>
      </c>
      <c r="C33" s="206">
        <f ca="1">ROUND(D5*C19*C20*C24*F33,0)</f>
        <v>28609</v>
      </c>
      <c r="D33" s="2833"/>
      <c r="E33" s="200">
        <f ca="1">ROUND(C33*D33/10000,0)</f>
        <v>0</v>
      </c>
      <c r="F33" s="200">
        <f>SUMIF(修正!A45:A56,G2,修正!B45:B56)</f>
        <v>0.8</v>
      </c>
      <c r="G33" s="200">
        <f t="shared" ref="G33" ca="1" si="6">ROUND(IF(E2="工业",C33*$M$39,C33*$M$38),0)</f>
        <v>7152</v>
      </c>
      <c r="H33" s="200">
        <f>D33</f>
        <v>0</v>
      </c>
      <c r="I33" s="200">
        <f ca="1">ROUND(G33*H33/10000,0)</f>
        <v>0</v>
      </c>
      <c r="J33" s="285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79"/>
      <c r="B34" s="2762" t="s">
        <v>2928</v>
      </c>
      <c r="C34" s="206">
        <f ca="1">ROUND(D5*C19*C20*C24*F34,0)</f>
        <v>17881</v>
      </c>
      <c r="D34" s="2833"/>
      <c r="E34" s="200">
        <f t="shared" ref="E34:E39" ca="1" si="7">ROUND(C34*D34/10000,0)</f>
        <v>0</v>
      </c>
      <c r="F34" s="200">
        <f>SUMIF(修正!A45:A56,G2,修正!C45:C56)</f>
        <v>0.5</v>
      </c>
      <c r="G34" s="200">
        <f ca="1">ROUND(IF(E2="工业",C34*$M$39,C34*$M$38),0)</f>
        <v>4470</v>
      </c>
      <c r="H34" s="200">
        <f t="shared" ref="H34:H39" si="8">D34</f>
        <v>0</v>
      </c>
      <c r="I34" s="200">
        <f t="shared" ref="I34:I39" ca="1" si="9">ROUND(G34*H34/10000,0)</f>
        <v>0</v>
      </c>
      <c r="J34" s="285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79"/>
      <c r="B35" s="2762" t="s">
        <v>2929</v>
      </c>
      <c r="C35" s="206">
        <f ca="1">ROUND(D5*C19*C20*C24*F35,0)</f>
        <v>12874</v>
      </c>
      <c r="D35" s="2833"/>
      <c r="E35" s="200">
        <f t="shared" ca="1" si="7"/>
        <v>0</v>
      </c>
      <c r="F35" s="200">
        <f>SUMIF(修正!A45:A56,G2,修正!D45:D56)</f>
        <v>0.36</v>
      </c>
      <c r="G35" s="200">
        <f ca="1">ROUND(IF(E2="工业",C35*$M$39,C35*$M$38),0)</f>
        <v>3219</v>
      </c>
      <c r="H35" s="200">
        <f t="shared" si="8"/>
        <v>0</v>
      </c>
      <c r="I35" s="200">
        <f t="shared" ca="1" si="9"/>
        <v>0</v>
      </c>
      <c r="J35" s="2850"/>
      <c r="K35" s="1370"/>
      <c r="L35" s="1370"/>
      <c r="M35" s="1370"/>
      <c r="N35" s="1370"/>
      <c r="O35" s="1370"/>
      <c r="P35" s="1370"/>
      <c r="Q35" s="1370"/>
      <c r="R35" s="1370"/>
      <c r="S35" s="1370"/>
      <c r="T35" s="1370"/>
      <c r="U35" s="1370"/>
      <c r="V35" s="1370"/>
      <c r="W35" s="1370"/>
      <c r="X35" s="1370"/>
      <c r="Y35" s="1370"/>
      <c r="Z35" s="1371"/>
    </row>
    <row r="36" spans="1:37" ht="13.5" thickBot="1">
      <c r="A36" s="3180"/>
      <c r="B36" s="2762" t="s">
        <v>2930</v>
      </c>
      <c r="C36" s="206">
        <f ca="1">ROUND(D5*C19*C20*C24*F36,0)</f>
        <v>10728</v>
      </c>
      <c r="D36" s="2833"/>
      <c r="E36" s="200">
        <f t="shared" ca="1" si="7"/>
        <v>0</v>
      </c>
      <c r="F36" s="200">
        <f>SUMIF(修正!A45:A56,G2,修正!E45:E56)</f>
        <v>0.3</v>
      </c>
      <c r="G36" s="200">
        <f ca="1">ROUND(IF(E2="工业",C36*$M$39,C36*$M$38),0)</f>
        <v>2682</v>
      </c>
      <c r="H36" s="200">
        <f t="shared" si="8"/>
        <v>0</v>
      </c>
      <c r="I36" s="200">
        <f t="shared" ca="1" si="9"/>
        <v>0</v>
      </c>
      <c r="J36" s="2850"/>
      <c r="K36" s="1370"/>
      <c r="L36" s="2716"/>
      <c r="M36" s="2716"/>
      <c r="N36" s="1370"/>
      <c r="O36" s="1370"/>
      <c r="P36" s="1370"/>
      <c r="Q36" s="1370"/>
      <c r="R36" s="1370"/>
      <c r="S36" s="1370"/>
      <c r="T36" s="1370"/>
      <c r="U36" s="1370"/>
      <c r="V36" s="1370"/>
      <c r="W36" s="1370"/>
      <c r="X36" s="1370"/>
      <c r="Y36" s="1370"/>
      <c r="Z36" s="1371"/>
    </row>
    <row r="37" spans="1:37">
      <c r="A37" s="2851"/>
      <c r="B37" s="2762" t="s">
        <v>2931</v>
      </c>
      <c r="C37" s="200">
        <f ca="1">ROUND(D5*C19*C20*C24*F37,0)</f>
        <v>10728</v>
      </c>
      <c r="D37" s="2833"/>
      <c r="E37" s="200">
        <f t="shared" ca="1" si="7"/>
        <v>0</v>
      </c>
      <c r="F37" s="206">
        <f>SUMIF(修正!A45:A56,G2,修正!F45:F56)</f>
        <v>0.3</v>
      </c>
      <c r="G37" s="200">
        <f ca="1">ROUND(IF(E2="工业",C37*$M$39,C37*$M$38),0)</f>
        <v>2682</v>
      </c>
      <c r="H37" s="200">
        <f t="shared" si="8"/>
        <v>0</v>
      </c>
      <c r="I37" s="200">
        <f t="shared" ca="1" si="9"/>
        <v>0</v>
      </c>
      <c r="J37" s="2850"/>
      <c r="K37" s="1370"/>
      <c r="L37" s="2852" t="s">
        <v>2932</v>
      </c>
      <c r="M37" s="2853"/>
      <c r="N37" s="1370"/>
      <c r="O37" s="1370"/>
      <c r="P37" s="1370"/>
      <c r="Q37" s="1370"/>
      <c r="R37" s="1370"/>
      <c r="S37" s="1370"/>
      <c r="T37" s="1370"/>
      <c r="U37" s="1370"/>
      <c r="V37" s="1370"/>
      <c r="W37" s="1370"/>
      <c r="X37" s="1370"/>
      <c r="Y37" s="1370"/>
      <c r="Z37" s="1371"/>
    </row>
    <row r="38" spans="1:37">
      <c r="A38" s="2851"/>
      <c r="B38" s="2762" t="s">
        <v>2933</v>
      </c>
      <c r="C38" s="200">
        <f ca="1">ROUND(D5*C19*C41*C24*F38,0)</f>
        <v>11232</v>
      </c>
      <c r="D38" s="2833"/>
      <c r="E38" s="200">
        <f t="shared" ca="1" si="7"/>
        <v>0</v>
      </c>
      <c r="F38" s="206">
        <f>SUMIF(修正!A45:A56,G2,修正!G45:G56)</f>
        <v>0.3</v>
      </c>
      <c r="G38" s="200">
        <f ca="1">ROUND(IF(E2="工业",C38*$M$39,C38*$M$38),0)</f>
        <v>2808</v>
      </c>
      <c r="H38" s="200">
        <f t="shared" si="8"/>
        <v>0</v>
      </c>
      <c r="I38" s="200">
        <f t="shared" ca="1" si="9"/>
        <v>0</v>
      </c>
      <c r="J38" s="2850"/>
      <c r="K38" s="1370"/>
      <c r="L38" s="1886" t="s">
        <v>2934</v>
      </c>
      <c r="M38" s="2854">
        <v>0.25</v>
      </c>
      <c r="N38" s="1370"/>
      <c r="O38" s="1370"/>
      <c r="P38" s="1370"/>
      <c r="Q38" s="1370"/>
      <c r="R38" s="1370"/>
      <c r="S38" s="1370"/>
      <c r="T38" s="1370"/>
      <c r="U38" s="1370"/>
      <c r="V38" s="1370"/>
      <c r="W38" s="1370"/>
      <c r="X38" s="1370"/>
      <c r="Y38" s="1370"/>
      <c r="Z38" s="1371"/>
    </row>
    <row r="39" spans="1:37" ht="13.5" thickBot="1">
      <c r="A39" s="2837"/>
      <c r="B39" s="2855" t="s">
        <v>2935</v>
      </c>
      <c r="C39" s="229">
        <f ca="1">ROUND(D5*C19*C41*C24*F39,0)</f>
        <v>9360</v>
      </c>
      <c r="D39" s="2839">
        <f>'数据-汇总表'!G19</f>
        <v>17234.79</v>
      </c>
      <c r="E39" s="229">
        <f t="shared" ca="1" si="7"/>
        <v>16132</v>
      </c>
      <c r="F39" s="932">
        <f>SUMIF(修正!A45:A56,G2,修正!H45:H56)</f>
        <v>0.25</v>
      </c>
      <c r="G39" s="229">
        <f ca="1">ROUND(IF(E2="工业",C39*$M$39,C39*$M$38),0)</f>
        <v>2340</v>
      </c>
      <c r="H39" s="229">
        <f t="shared" si="8"/>
        <v>17234.79</v>
      </c>
      <c r="I39" s="229">
        <f t="shared" ca="1" si="9"/>
        <v>4033</v>
      </c>
      <c r="J39" s="2856"/>
      <c r="K39" s="1370"/>
      <c r="L39" s="2857" t="s">
        <v>2879</v>
      </c>
      <c r="M39" s="285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6" t="s">
        <v>3043</v>
      </c>
      <c r="C41" s="388">
        <f ca="1">ROUND(POWER(1+E41,H41-G41)*(POWER(1+E41,G41)-1)/(POWER(1+E41,H41)-1),4)</f>
        <v>0.94620000000000004</v>
      </c>
      <c r="D41" s="200" t="s">
        <v>2886</v>
      </c>
      <c r="E41" s="2925">
        <f ca="1">G20</f>
        <v>5.3999999999999999E-2</v>
      </c>
      <c r="F41" s="200" t="s">
        <v>2895</v>
      </c>
      <c r="G41" s="218">
        <v>40</v>
      </c>
      <c r="H41" s="200">
        <v>50</v>
      </c>
      <c r="Z41" s="1371"/>
      <c r="AA41" s="1371"/>
      <c r="AB41" s="1371"/>
      <c r="AC41" s="1371"/>
      <c r="AD41" s="1371"/>
      <c r="AE41" s="1371"/>
      <c r="AF41" s="1371"/>
      <c r="AG41" s="1371"/>
      <c r="AH41" s="1371"/>
      <c r="AI41" s="1371"/>
      <c r="AJ41" s="1371"/>
    </row>
    <row r="42" spans="1:37" s="1370" customFormat="1">
      <c r="A42" s="1371"/>
      <c r="B42" s="2859"/>
      <c r="Z42" s="1371"/>
      <c r="AA42" s="1371"/>
      <c r="AB42" s="1371"/>
      <c r="AC42" s="1371"/>
      <c r="AD42" s="1371"/>
      <c r="AE42" s="1371"/>
      <c r="AF42" s="1371"/>
      <c r="AG42" s="1371"/>
      <c r="AH42" s="1371"/>
      <c r="AI42" s="1371"/>
      <c r="AJ42" s="1371"/>
    </row>
    <row r="43" spans="1:37" s="1370" customFormat="1">
      <c r="A43" s="1371"/>
      <c r="B43" s="2859"/>
      <c r="Z43" s="1371"/>
      <c r="AA43" s="1371"/>
      <c r="AB43" s="1371"/>
      <c r="AC43" s="1371"/>
      <c r="AD43" s="1371"/>
      <c r="AE43" s="1371"/>
      <c r="AF43" s="1371"/>
      <c r="AG43" s="1371"/>
      <c r="AH43" s="1371"/>
      <c r="AI43" s="1371"/>
      <c r="AJ43" s="1371"/>
    </row>
    <row r="44" spans="1:37" s="1370" customFormat="1">
      <c r="A44" s="1371"/>
      <c r="B44" s="2859"/>
      <c r="Z44" s="1371"/>
      <c r="AA44" s="1371"/>
      <c r="AB44" s="1371"/>
      <c r="AC44" s="1371"/>
      <c r="AD44" s="1371"/>
      <c r="AE44" s="1371"/>
      <c r="AF44" s="1371"/>
      <c r="AG44" s="1371"/>
      <c r="AH44" s="1371"/>
      <c r="AI44" s="1371"/>
      <c r="AJ44" s="1371"/>
    </row>
    <row r="45" spans="1:37" s="1370" customFormat="1" ht="15.75" thickBot="1">
      <c r="A45" s="2860" t="s">
        <v>2936</v>
      </c>
      <c r="B45" s="2861"/>
      <c r="C45" s="7"/>
      <c r="D45" s="7"/>
      <c r="E45" s="7"/>
      <c r="F45" s="6"/>
      <c r="G45" s="6"/>
      <c r="H45" s="6"/>
      <c r="I45" s="7"/>
      <c r="J45" s="7"/>
      <c r="K45" s="7"/>
      <c r="L45" s="7"/>
      <c r="M45" s="7"/>
      <c r="N45" s="2780"/>
      <c r="Z45" s="1371"/>
      <c r="AA45" s="1371"/>
      <c r="AB45" s="1371"/>
      <c r="AC45" s="1371"/>
      <c r="AD45" s="1371"/>
      <c r="AE45" s="1371"/>
      <c r="AF45" s="1371"/>
      <c r="AG45" s="1371"/>
      <c r="AH45" s="1371"/>
      <c r="AI45" s="1371"/>
      <c r="AJ45" s="1371"/>
    </row>
    <row r="46" spans="1:37" s="1370" customFormat="1" ht="15">
      <c r="A46" s="2862" t="s">
        <v>2937</v>
      </c>
      <c r="B46" s="2863">
        <f>1+E48</f>
        <v>1.044</v>
      </c>
      <c r="C46" s="2864"/>
      <c r="D46" s="814"/>
      <c r="E46" s="815"/>
      <c r="F46" s="2865"/>
      <c r="G46" s="6"/>
      <c r="H46" s="7"/>
      <c r="I46" s="7"/>
      <c r="J46" s="7"/>
      <c r="K46" s="7"/>
      <c r="L46" s="7"/>
      <c r="M46" s="7"/>
      <c r="N46" s="2780"/>
      <c r="Z46" s="1371"/>
      <c r="AA46" s="1371"/>
      <c r="AB46" s="1371"/>
      <c r="AC46" s="1371"/>
      <c r="AD46" s="1371"/>
      <c r="AE46" s="1371"/>
      <c r="AF46" s="1371"/>
      <c r="AG46" s="1371"/>
      <c r="AH46" s="1371"/>
      <c r="AI46" s="1371"/>
      <c r="AJ46" s="1371"/>
    </row>
    <row r="47" spans="1:37" s="1370" customFormat="1" ht="24.75">
      <c r="A47" s="2866" t="s">
        <v>2938</v>
      </c>
      <c r="B47" s="1808" t="s">
        <v>2939</v>
      </c>
      <c r="C47" s="1808" t="s">
        <v>2940</v>
      </c>
      <c r="D47" s="1808" t="s">
        <v>2941</v>
      </c>
      <c r="E47" s="819" t="s">
        <v>2942</v>
      </c>
      <c r="F47" s="2867" t="s">
        <v>2943</v>
      </c>
      <c r="G47" s="1808" t="s">
        <v>754</v>
      </c>
      <c r="H47" s="2868" t="s">
        <v>2944</v>
      </c>
      <c r="I47" s="1808" t="s">
        <v>2945</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38.25">
      <c r="A48" s="2866" t="s">
        <v>2946</v>
      </c>
      <c r="B48" s="2869" t="str">
        <f>估价对象房地状况!C4</f>
        <v>估价对象位于XX商圈，周边商业氛围成熟，人流量大，商业繁华度好</v>
      </c>
      <c r="C48" s="2767" t="s">
        <v>3131</v>
      </c>
      <c r="D48" s="1286">
        <f t="shared" ref="D48:D56" si="10">SUMIF($J$47:$N$47,C48,J48:N48)</f>
        <v>1.32E-2</v>
      </c>
      <c r="E48" s="821">
        <f>ROUND(SUM(D48:D56),4)</f>
        <v>4.3999999999999997E-2</v>
      </c>
      <c r="F48" s="2498">
        <f>IF(E2="商业",SUMIF(L1:L12,G2,N1:N12),"——")</f>
        <v>0.08</v>
      </c>
      <c r="G48" s="1284">
        <f>H48</f>
        <v>1.32E-2</v>
      </c>
      <c r="H48" s="1288">
        <f t="shared" ref="H48:H56" si="11">IFERROR(ROUNDDOWN($F$48*I48/2,4),"——")</f>
        <v>1.32E-2</v>
      </c>
      <c r="I48" s="820">
        <v>0.33</v>
      </c>
      <c r="J48" s="1285">
        <f t="shared" ref="J48:J56" si="12">K48+$G48</f>
        <v>2.64E-2</v>
      </c>
      <c r="K48" s="1285">
        <f t="shared" ref="K48:K56" si="13">$L48+$G48</f>
        <v>1.32E-2</v>
      </c>
      <c r="L48" s="1285">
        <v>0</v>
      </c>
      <c r="M48" s="1285">
        <f t="shared" ref="M48:N56" si="14">L48-$G48</f>
        <v>-1.32E-2</v>
      </c>
      <c r="N48" s="1285">
        <f t="shared" si="14"/>
        <v>-2.64E-2</v>
      </c>
      <c r="AA48" s="1371"/>
      <c r="AB48" s="1371"/>
      <c r="AC48" s="1371"/>
      <c r="AD48" s="1371"/>
      <c r="AE48" s="1371"/>
      <c r="AF48" s="1371"/>
      <c r="AG48" s="1371"/>
      <c r="AH48" s="1371"/>
      <c r="AI48" s="1371"/>
      <c r="AJ48" s="1371"/>
      <c r="AK48" s="1371"/>
    </row>
    <row r="49" spans="1:37" s="1370" customFormat="1" ht="51">
      <c r="A49" s="2866" t="s">
        <v>2947</v>
      </c>
      <c r="B49" s="2870" t="str">
        <f>估价对象房地状况!C18</f>
        <v>估价对象周边道路状况、公共交通通达情况、停车便捷程度，综合评价交通便捷度较好</v>
      </c>
      <c r="C49" s="2767" t="s">
        <v>3131</v>
      </c>
      <c r="D49" s="1286">
        <f t="shared" si="10"/>
        <v>0.01</v>
      </c>
      <c r="E49" s="822"/>
      <c r="F49" s="2498"/>
      <c r="G49" s="1284">
        <f t="shared" ref="G49:G56" si="15">H49</f>
        <v>0.01</v>
      </c>
      <c r="H49" s="1288">
        <f t="shared" si="11"/>
        <v>0.01</v>
      </c>
      <c r="I49" s="820">
        <v>0.25</v>
      </c>
      <c r="J49" s="1285">
        <f t="shared" si="12"/>
        <v>0.02</v>
      </c>
      <c r="K49" s="1285">
        <f t="shared" si="13"/>
        <v>0.01</v>
      </c>
      <c r="L49" s="1285">
        <v>0</v>
      </c>
      <c r="M49" s="1285">
        <f t="shared" si="14"/>
        <v>-0.01</v>
      </c>
      <c r="N49" s="1285">
        <f t="shared" si="14"/>
        <v>-0.02</v>
      </c>
      <c r="AA49" s="1371"/>
      <c r="AB49" s="1371"/>
      <c r="AC49" s="1371"/>
      <c r="AD49" s="1371"/>
      <c r="AE49" s="1371"/>
      <c r="AF49" s="1371"/>
      <c r="AG49" s="1371"/>
      <c r="AH49" s="1371"/>
      <c r="AI49" s="1371"/>
      <c r="AJ49" s="1371"/>
      <c r="AK49" s="1371"/>
    </row>
    <row r="50" spans="1:37" s="1370" customFormat="1" ht="24">
      <c r="A50" s="2866" t="s">
        <v>2948</v>
      </c>
      <c r="B50" s="2870">
        <f>估价对象房地状况!C19</f>
        <v>0</v>
      </c>
      <c r="C50" s="2767" t="s">
        <v>3131</v>
      </c>
      <c r="D50" s="1286">
        <f t="shared" si="10"/>
        <v>2E-3</v>
      </c>
      <c r="E50" s="822"/>
      <c r="F50" s="2498"/>
      <c r="G50" s="1284">
        <f t="shared" si="15"/>
        <v>2E-3</v>
      </c>
      <c r="H50" s="1288">
        <f t="shared" si="11"/>
        <v>2E-3</v>
      </c>
      <c r="I50" s="820">
        <v>0.05</v>
      </c>
      <c r="J50" s="1285">
        <f t="shared" si="12"/>
        <v>4.0000000000000001E-3</v>
      </c>
      <c r="K50" s="1285">
        <f t="shared" si="13"/>
        <v>2E-3</v>
      </c>
      <c r="L50" s="1285">
        <v>0</v>
      </c>
      <c r="M50" s="1285">
        <f t="shared" si="14"/>
        <v>-2E-3</v>
      </c>
      <c r="N50" s="1285">
        <f t="shared" si="14"/>
        <v>-4.0000000000000001E-3</v>
      </c>
      <c r="AA50" s="1371"/>
      <c r="AB50" s="1371"/>
      <c r="AC50" s="1371"/>
      <c r="AD50" s="1371"/>
      <c r="AE50" s="1371"/>
      <c r="AF50" s="1371"/>
      <c r="AG50" s="1371"/>
      <c r="AH50" s="1371"/>
      <c r="AI50" s="1371"/>
      <c r="AJ50" s="1371"/>
      <c r="AK50" s="1371"/>
    </row>
    <row r="51" spans="1:37" s="1370" customFormat="1" ht="36.75">
      <c r="A51" s="2866" t="s">
        <v>2949</v>
      </c>
      <c r="B51" s="2871" t="s">
        <v>2950</v>
      </c>
      <c r="C51" s="2767" t="s">
        <v>3131</v>
      </c>
      <c r="D51" s="1286">
        <f t="shared" si="10"/>
        <v>2E-3</v>
      </c>
      <c r="E51" s="822"/>
      <c r="F51" s="2498"/>
      <c r="G51" s="1284">
        <f t="shared" si="15"/>
        <v>2E-3</v>
      </c>
      <c r="H51" s="1288">
        <f t="shared" si="11"/>
        <v>2E-3</v>
      </c>
      <c r="I51" s="820">
        <v>0.05</v>
      </c>
      <c r="J51" s="1285">
        <f t="shared" si="12"/>
        <v>4.0000000000000001E-3</v>
      </c>
      <c r="K51" s="1285">
        <f t="shared" si="13"/>
        <v>2E-3</v>
      </c>
      <c r="L51" s="1285">
        <v>0</v>
      </c>
      <c r="M51" s="1285">
        <f t="shared" si="14"/>
        <v>-2E-3</v>
      </c>
      <c r="N51" s="1285">
        <f t="shared" si="14"/>
        <v>-4.0000000000000001E-3</v>
      </c>
      <c r="AA51" s="1371"/>
      <c r="AB51" s="1371"/>
      <c r="AC51" s="1371"/>
      <c r="AD51" s="1371"/>
      <c r="AE51" s="1371"/>
      <c r="AF51" s="1371"/>
      <c r="AG51" s="1371"/>
      <c r="AH51" s="1371"/>
      <c r="AI51" s="1371"/>
      <c r="AJ51" s="1371"/>
      <c r="AK51" s="1371"/>
    </row>
    <row r="52" spans="1:37" s="1370" customFormat="1" ht="24">
      <c r="A52" s="2866" t="s">
        <v>2951</v>
      </c>
      <c r="B52" s="2870">
        <f>估价对象房地状况!C24</f>
        <v>0</v>
      </c>
      <c r="C52" s="2767" t="s">
        <v>3131</v>
      </c>
      <c r="D52" s="1286">
        <f t="shared" si="10"/>
        <v>3.2000000000000002E-3</v>
      </c>
      <c r="E52" s="822"/>
      <c r="F52" s="2498"/>
      <c r="G52" s="1284">
        <f t="shared" si="15"/>
        <v>3.2000000000000002E-3</v>
      </c>
      <c r="H52" s="1288">
        <f t="shared" si="11"/>
        <v>3.2000000000000002E-3</v>
      </c>
      <c r="I52" s="820">
        <v>0.08</v>
      </c>
      <c r="J52" s="1285">
        <f t="shared" si="12"/>
        <v>6.4000000000000003E-3</v>
      </c>
      <c r="K52" s="1285">
        <f t="shared" si="13"/>
        <v>3.2000000000000002E-3</v>
      </c>
      <c r="L52" s="1285">
        <v>0</v>
      </c>
      <c r="M52" s="1285">
        <f t="shared" si="14"/>
        <v>-3.2000000000000002E-3</v>
      </c>
      <c r="N52" s="1285">
        <f t="shared" si="14"/>
        <v>-6.4000000000000003E-3</v>
      </c>
      <c r="AA52" s="1371"/>
      <c r="AB52" s="1371"/>
      <c r="AC52" s="1371"/>
      <c r="AD52" s="1371"/>
      <c r="AE52" s="1371"/>
      <c r="AF52" s="1371"/>
      <c r="AG52" s="1371"/>
      <c r="AH52" s="1371"/>
      <c r="AI52" s="1371"/>
      <c r="AJ52" s="1371"/>
      <c r="AK52" s="1371"/>
    </row>
    <row r="53" spans="1:37" s="1370" customFormat="1" ht="24">
      <c r="A53" s="2866" t="s">
        <v>2952</v>
      </c>
      <c r="B53" s="2872" t="s">
        <v>2953</v>
      </c>
      <c r="C53" s="2767" t="s">
        <v>3131</v>
      </c>
      <c r="D53" s="1286">
        <f t="shared" si="10"/>
        <v>1.1999999999999999E-3</v>
      </c>
      <c r="E53" s="822"/>
      <c r="F53" s="2498"/>
      <c r="G53" s="1284">
        <f t="shared" si="15"/>
        <v>1.1999999999999999E-3</v>
      </c>
      <c r="H53" s="1288">
        <f t="shared" si="11"/>
        <v>1.1999999999999999E-3</v>
      </c>
      <c r="I53" s="820">
        <v>0.03</v>
      </c>
      <c r="J53" s="1285">
        <f t="shared" si="12"/>
        <v>2.3999999999999998E-3</v>
      </c>
      <c r="K53" s="1285">
        <f t="shared" si="13"/>
        <v>1.1999999999999999E-3</v>
      </c>
      <c r="L53" s="1285">
        <v>0</v>
      </c>
      <c r="M53" s="1285">
        <f t="shared" si="14"/>
        <v>-1.1999999999999999E-3</v>
      </c>
      <c r="N53" s="1285">
        <f t="shared" si="14"/>
        <v>-2.3999999999999998E-3</v>
      </c>
      <c r="AA53" s="1371"/>
      <c r="AB53" s="1371"/>
      <c r="AC53" s="1371"/>
      <c r="AD53" s="1371"/>
      <c r="AE53" s="1371"/>
      <c r="AF53" s="1371"/>
      <c r="AG53" s="1371"/>
      <c r="AH53" s="1371"/>
      <c r="AI53" s="1371"/>
      <c r="AJ53" s="1371"/>
      <c r="AK53" s="1371"/>
    </row>
    <row r="54" spans="1:37" s="1370" customFormat="1" ht="25.5">
      <c r="A54" s="2873" t="s">
        <v>2954</v>
      </c>
      <c r="B54" s="1725" t="str">
        <f>估价对象房地状况!C21</f>
        <v>估价对象所在区域公共配套设施齐备情况</v>
      </c>
      <c r="C54" s="2767" t="s">
        <v>3131</v>
      </c>
      <c r="D54" s="1286">
        <f t="shared" si="10"/>
        <v>2E-3</v>
      </c>
      <c r="E54" s="822"/>
      <c r="F54" s="2498"/>
      <c r="G54" s="1284">
        <f t="shared" si="15"/>
        <v>2E-3</v>
      </c>
      <c r="H54" s="1288">
        <f t="shared" si="11"/>
        <v>2E-3</v>
      </c>
      <c r="I54" s="820">
        <v>0.05</v>
      </c>
      <c r="J54" s="1285">
        <f t="shared" si="12"/>
        <v>4.0000000000000001E-3</v>
      </c>
      <c r="K54" s="1285">
        <f t="shared" si="13"/>
        <v>2E-3</v>
      </c>
      <c r="L54" s="1285">
        <v>0</v>
      </c>
      <c r="M54" s="1285">
        <f t="shared" si="14"/>
        <v>-2E-3</v>
      </c>
      <c r="N54" s="1285">
        <f t="shared" si="14"/>
        <v>-4.0000000000000001E-3</v>
      </c>
      <c r="AA54" s="1371"/>
      <c r="AB54" s="1371"/>
      <c r="AC54" s="1371"/>
      <c r="AD54" s="1371"/>
      <c r="AE54" s="1371"/>
      <c r="AF54" s="1371"/>
      <c r="AG54" s="1371"/>
      <c r="AH54" s="1371"/>
      <c r="AI54" s="1371"/>
      <c r="AJ54" s="1371"/>
      <c r="AK54" s="1371"/>
    </row>
    <row r="55" spans="1:37" s="1370" customFormat="1" ht="25.5">
      <c r="A55" s="2873" t="s">
        <v>2955</v>
      </c>
      <c r="B55" s="2870" t="str">
        <f>估价对象房地状况!C22</f>
        <v>估价对象所在区域基础设施水平</v>
      </c>
      <c r="C55" s="2767" t="s">
        <v>3132</v>
      </c>
      <c r="D55" s="1286">
        <f t="shared" si="10"/>
        <v>8.0000000000000002E-3</v>
      </c>
      <c r="E55" s="822"/>
      <c r="F55" s="2498"/>
      <c r="G55" s="1284">
        <f t="shared" si="15"/>
        <v>4.0000000000000001E-3</v>
      </c>
      <c r="H55" s="1288">
        <f t="shared" si="11"/>
        <v>4.0000000000000001E-3</v>
      </c>
      <c r="I55" s="820">
        <v>0.1</v>
      </c>
      <c r="J55" s="1285">
        <f t="shared" si="12"/>
        <v>8.0000000000000002E-3</v>
      </c>
      <c r="K55" s="1285">
        <f t="shared" si="13"/>
        <v>4.0000000000000001E-3</v>
      </c>
      <c r="L55" s="1285">
        <v>0</v>
      </c>
      <c r="M55" s="1285">
        <f t="shared" si="14"/>
        <v>-4.0000000000000001E-3</v>
      </c>
      <c r="N55" s="1285">
        <f t="shared" si="14"/>
        <v>-8.0000000000000002E-3</v>
      </c>
      <c r="AA55" s="1371"/>
      <c r="AB55" s="1371"/>
      <c r="AC55" s="1371"/>
      <c r="AD55" s="1371"/>
      <c r="AE55" s="1371"/>
      <c r="AF55" s="1371"/>
      <c r="AG55" s="1371"/>
      <c r="AH55" s="1371"/>
      <c r="AI55" s="1371"/>
      <c r="AJ55" s="1371"/>
      <c r="AK55" s="1371"/>
    </row>
    <row r="56" spans="1:37" s="1370" customFormat="1" ht="39" thickBot="1">
      <c r="A56" s="2874" t="s">
        <v>2956</v>
      </c>
      <c r="B56" s="2875" t="str">
        <f>估价对象房地状况!C20</f>
        <v>区域自然环境：；人文环境；综合评价环境状况一般</v>
      </c>
      <c r="C56" s="2767" t="s">
        <v>3131</v>
      </c>
      <c r="D56" s="1286">
        <f t="shared" si="10"/>
        <v>2.3999999999999998E-3</v>
      </c>
      <c r="E56" s="825"/>
      <c r="F56" s="2498"/>
      <c r="G56" s="1284">
        <f t="shared" si="15"/>
        <v>2.3999999999999998E-3</v>
      </c>
      <c r="H56" s="1288">
        <f t="shared" si="11"/>
        <v>2.3999999999999998E-3</v>
      </c>
      <c r="I56" s="824">
        <v>0.06</v>
      </c>
      <c r="J56" s="1285">
        <f t="shared" si="12"/>
        <v>4.7999999999999996E-3</v>
      </c>
      <c r="K56" s="1285">
        <f t="shared" si="13"/>
        <v>2.3999999999999998E-3</v>
      </c>
      <c r="L56" s="1285">
        <v>0</v>
      </c>
      <c r="M56" s="1285">
        <f t="shared" si="14"/>
        <v>-2.3999999999999998E-3</v>
      </c>
      <c r="N56" s="1285">
        <f t="shared" si="14"/>
        <v>-4.7999999999999996E-3</v>
      </c>
      <c r="AA56" s="1371"/>
      <c r="AB56" s="1371"/>
      <c r="AC56" s="1371"/>
      <c r="AD56" s="1371"/>
      <c r="AE56" s="1371"/>
      <c r="AF56" s="1371"/>
      <c r="AG56" s="1371"/>
      <c r="AH56" s="1371"/>
      <c r="AI56" s="1371"/>
      <c r="AJ56" s="1371"/>
      <c r="AK56" s="1371"/>
    </row>
    <row r="57" spans="1:37" s="1370" customFormat="1" ht="15">
      <c r="A57" s="2862" t="s">
        <v>2957</v>
      </c>
      <c r="B57" s="2863">
        <f>1+E59</f>
        <v>1</v>
      </c>
      <c r="C57" s="814"/>
      <c r="D57" s="814"/>
      <c r="E57" s="815"/>
      <c r="F57" s="286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6" t="s">
        <v>2938</v>
      </c>
      <c r="B58" s="1808"/>
      <c r="C58" s="1808" t="s">
        <v>2940</v>
      </c>
      <c r="D58" s="1808" t="s">
        <v>2941</v>
      </c>
      <c r="E58" s="819" t="s">
        <v>2942</v>
      </c>
      <c r="F58" s="2867" t="s">
        <v>2958</v>
      </c>
      <c r="G58" s="1808" t="s">
        <v>754</v>
      </c>
      <c r="H58" s="2868" t="s">
        <v>2944</v>
      </c>
      <c r="I58" s="1808" t="s">
        <v>2945</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c r="A59" s="2866" t="s">
        <v>2959</v>
      </c>
      <c r="B59" s="2869" t="str">
        <f>估价对象房地状况!C17</f>
        <v>估价对象位于XX商圈，周边办公楼项目较多，入驻率高，办公集聚程度较好</v>
      </c>
      <c r="C59" s="2767"/>
      <c r="D59" s="1286">
        <f t="shared" ref="D59:D67" si="16">SUMIF($J$58:$N$58,C59,J59:N59)</f>
        <v>0</v>
      </c>
      <c r="E59" s="821">
        <f>ROUND(SUM(D59:D67),4)</f>
        <v>0</v>
      </c>
      <c r="F59" s="2498"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51">
      <c r="A60" s="2866" t="s">
        <v>2947</v>
      </c>
      <c r="B60" s="2870" t="str">
        <f>估价对象房地状况!C18</f>
        <v>估价对象周边道路状况、公共交通通达情况、停车便捷程度，综合评价交通便捷度较好</v>
      </c>
      <c r="C60" s="2767"/>
      <c r="D60" s="1286">
        <f t="shared" si="16"/>
        <v>0</v>
      </c>
      <c r="E60" s="822"/>
      <c r="F60" s="2498"/>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866" t="s">
        <v>2948</v>
      </c>
      <c r="B61" s="2870">
        <f>估价对象房地状况!C19</f>
        <v>0</v>
      </c>
      <c r="C61" s="2767"/>
      <c r="D61" s="1286">
        <f t="shared" si="16"/>
        <v>0</v>
      </c>
      <c r="E61" s="822"/>
      <c r="F61" s="2498"/>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866" t="s">
        <v>2949</v>
      </c>
      <c r="B62" s="2871" t="s">
        <v>2950</v>
      </c>
      <c r="C62" s="2767"/>
      <c r="D62" s="1286">
        <f t="shared" si="16"/>
        <v>0</v>
      </c>
      <c r="E62" s="822"/>
      <c r="F62" s="2498"/>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866" t="s">
        <v>2951</v>
      </c>
      <c r="B63" s="2870">
        <f>估价对象房地状况!C24</f>
        <v>0</v>
      </c>
      <c r="C63" s="2767"/>
      <c r="D63" s="1286">
        <f t="shared" si="16"/>
        <v>0</v>
      </c>
      <c r="E63" s="822"/>
      <c r="F63" s="2498"/>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866" t="s">
        <v>2952</v>
      </c>
      <c r="B64" s="2872" t="s">
        <v>2953</v>
      </c>
      <c r="C64" s="2767"/>
      <c r="D64" s="1286">
        <f t="shared" si="16"/>
        <v>0</v>
      </c>
      <c r="E64" s="822"/>
      <c r="F64" s="2498"/>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5.5">
      <c r="A65" s="2866" t="s">
        <v>2954</v>
      </c>
      <c r="B65" s="1725" t="str">
        <f>估价对象房地状况!C21</f>
        <v>估价对象所在区域公共配套设施齐备情况</v>
      </c>
      <c r="C65" s="2767"/>
      <c r="D65" s="1286">
        <f t="shared" si="16"/>
        <v>0</v>
      </c>
      <c r="E65" s="822"/>
      <c r="F65" s="2498"/>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5.5">
      <c r="A66" s="2866" t="s">
        <v>2955</v>
      </c>
      <c r="B66" s="1725" t="str">
        <f>估价对象房地状况!C22</f>
        <v>估价对象所在区域基础设施水平</v>
      </c>
      <c r="C66" s="2767"/>
      <c r="D66" s="1286">
        <f t="shared" si="16"/>
        <v>0</v>
      </c>
      <c r="E66" s="822"/>
      <c r="F66" s="2498"/>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39" thickBot="1">
      <c r="A67" s="2874" t="s">
        <v>2956</v>
      </c>
      <c r="B67" s="2876" t="str">
        <f>估价对象房地状况!C20</f>
        <v>区域自然环境：；人文环境；综合评价环境状况一般</v>
      </c>
      <c r="C67" s="2767"/>
      <c r="D67" s="1286">
        <f t="shared" si="16"/>
        <v>0</v>
      </c>
      <c r="E67" s="825"/>
      <c r="F67" s="2498"/>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862" t="s">
        <v>2960</v>
      </c>
      <c r="B68" s="2863">
        <f>1+E70</f>
        <v>1</v>
      </c>
      <c r="C68" s="814"/>
      <c r="D68" s="814"/>
      <c r="E68" s="815"/>
      <c r="F68" s="286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6" t="s">
        <v>2938</v>
      </c>
      <c r="B69" s="1808"/>
      <c r="C69" s="1808" t="s">
        <v>2940</v>
      </c>
      <c r="D69" s="1808" t="s">
        <v>2941</v>
      </c>
      <c r="E69" s="819" t="s">
        <v>2942</v>
      </c>
      <c r="F69" s="2867" t="s">
        <v>2958</v>
      </c>
      <c r="G69" s="1808" t="s">
        <v>754</v>
      </c>
      <c r="H69" s="2868" t="s">
        <v>2944</v>
      </c>
      <c r="I69" s="1808" t="s">
        <v>2945</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51">
      <c r="A70" s="2866" t="s">
        <v>2961</v>
      </c>
      <c r="B70" s="2869" t="str">
        <f>估价对象房地状况!C15</f>
        <v>估价对象周边居住用地比例、居住小区规模和社区发展完善程度，综合评价居住社区成熟度一般</v>
      </c>
      <c r="C70" s="2767"/>
      <c r="D70" s="1286">
        <f t="shared" ref="D70:D78" si="21">SUMIF($J$69:$N$69,C70,J70:N70)</f>
        <v>0</v>
      </c>
      <c r="E70" s="821">
        <f>ROUND(SUM(D70:D78),4)</f>
        <v>0</v>
      </c>
      <c r="F70" s="2498"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66" t="s">
        <v>2947</v>
      </c>
      <c r="B71" s="2870" t="str">
        <f>估价对象房地状况!C18</f>
        <v>估价对象周边道路状况、公共交通通达情况、停车便捷程度，综合评价交通便捷度较好</v>
      </c>
      <c r="C71" s="2767"/>
      <c r="D71" s="1286">
        <f t="shared" si="21"/>
        <v>0</v>
      </c>
      <c r="E71" s="826"/>
      <c r="F71" s="2498"/>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66" t="s">
        <v>2948</v>
      </c>
      <c r="B72" s="2870">
        <f>估价对象房地状况!C19</f>
        <v>0</v>
      </c>
      <c r="C72" s="2767"/>
      <c r="D72" s="1286">
        <f t="shared" si="21"/>
        <v>0</v>
      </c>
      <c r="E72" s="826"/>
      <c r="F72" s="2498"/>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66" t="s">
        <v>2962</v>
      </c>
      <c r="B73" s="2870">
        <f>估价对象房地状况!C24</f>
        <v>0</v>
      </c>
      <c r="C73" s="2767"/>
      <c r="D73" s="1286">
        <f t="shared" si="21"/>
        <v>0</v>
      </c>
      <c r="E73" s="826"/>
      <c r="F73" s="2498"/>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66" t="s">
        <v>2954</v>
      </c>
      <c r="B74" s="1725" t="str">
        <f>估价对象房地状况!C21</f>
        <v>估价对象所在区域公共配套设施齐备情况</v>
      </c>
      <c r="C74" s="2767"/>
      <c r="D74" s="1286">
        <f t="shared" si="21"/>
        <v>0</v>
      </c>
      <c r="E74" s="826"/>
      <c r="F74" s="2498"/>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66" t="s">
        <v>2955</v>
      </c>
      <c r="B75" s="1725" t="str">
        <f>估价对象房地状况!C22</f>
        <v>估价对象所在区域基础设施水平</v>
      </c>
      <c r="C75" s="2767"/>
      <c r="D75" s="1286">
        <f t="shared" si="21"/>
        <v>0</v>
      </c>
      <c r="E75" s="826"/>
      <c r="F75" s="2498"/>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6" customFormat="1" ht="24">
      <c r="A76" s="2866" t="s">
        <v>2952</v>
      </c>
      <c r="B76" s="2872" t="s">
        <v>2953</v>
      </c>
      <c r="C76" s="2767"/>
      <c r="D76" s="1286">
        <f t="shared" si="21"/>
        <v>0</v>
      </c>
      <c r="E76" s="826"/>
      <c r="F76" s="2498"/>
      <c r="G76" s="1284"/>
      <c r="H76" s="1288" t="str">
        <f t="shared" si="22"/>
        <v>——</v>
      </c>
      <c r="I76" s="820">
        <v>0.05</v>
      </c>
      <c r="J76" s="1285">
        <f t="shared" si="23"/>
        <v>0</v>
      </c>
      <c r="K76" s="1285">
        <f t="shared" si="24"/>
        <v>0</v>
      </c>
      <c r="L76" s="1285">
        <v>0</v>
      </c>
      <c r="M76" s="1285">
        <f t="shared" si="25"/>
        <v>0</v>
      </c>
      <c r="N76" s="1285">
        <f t="shared" si="25"/>
        <v>0</v>
      </c>
      <c r="AA76" s="2877"/>
      <c r="AB76" s="1371"/>
      <c r="AC76" s="1371"/>
      <c r="AD76" s="1371"/>
      <c r="AE76" s="1371"/>
      <c r="AF76" s="1371"/>
      <c r="AG76" s="1371"/>
      <c r="AH76" s="2877"/>
      <c r="AI76" s="2877"/>
      <c r="AJ76" s="2877"/>
      <c r="AK76" s="2877"/>
    </row>
    <row r="77" spans="1:37" ht="38.25">
      <c r="A77" s="2866" t="s">
        <v>2956</v>
      </c>
      <c r="B77" s="2869" t="str">
        <f>估价对象房地状况!C20</f>
        <v>区域自然环境：；人文环境；综合评价环境状况一般</v>
      </c>
      <c r="C77" s="2767"/>
      <c r="D77" s="1286">
        <f t="shared" si="21"/>
        <v>0</v>
      </c>
      <c r="E77" s="826"/>
      <c r="F77" s="2498"/>
      <c r="G77" s="1284"/>
      <c r="H77" s="1288" t="str">
        <f t="shared" si="22"/>
        <v>——</v>
      </c>
      <c r="I77" s="820">
        <v>0.15</v>
      </c>
      <c r="J77" s="1285">
        <f t="shared" si="23"/>
        <v>0</v>
      </c>
      <c r="K77" s="1285">
        <f t="shared" si="24"/>
        <v>0</v>
      </c>
      <c r="L77" s="1285">
        <v>0</v>
      </c>
      <c r="M77" s="1285">
        <f t="shared" si="25"/>
        <v>0</v>
      </c>
      <c r="N77" s="1285">
        <f t="shared" si="25"/>
        <v>0</v>
      </c>
      <c r="Z77" s="2717"/>
      <c r="AA77" s="2785"/>
      <c r="AG77" s="1372"/>
      <c r="AK77" s="2785"/>
    </row>
    <row r="78" spans="1:37" ht="24.75" thickBot="1">
      <c r="A78" s="2874" t="s">
        <v>2963</v>
      </c>
      <c r="B78" s="2878"/>
      <c r="C78" s="2767"/>
      <c r="D78" s="1286">
        <f t="shared" si="21"/>
        <v>0</v>
      </c>
      <c r="E78" s="827"/>
      <c r="F78" s="2498"/>
      <c r="G78" s="1284"/>
      <c r="H78" s="1288" t="str">
        <f t="shared" si="22"/>
        <v>——</v>
      </c>
      <c r="I78" s="824">
        <v>0.04</v>
      </c>
      <c r="J78" s="1285">
        <f t="shared" si="23"/>
        <v>0</v>
      </c>
      <c r="K78" s="1285">
        <f t="shared" si="24"/>
        <v>0</v>
      </c>
      <c r="L78" s="1285">
        <v>0</v>
      </c>
      <c r="M78" s="1285">
        <f t="shared" si="25"/>
        <v>0</v>
      </c>
      <c r="N78" s="1285">
        <f t="shared" si="25"/>
        <v>0</v>
      </c>
      <c r="Z78" s="2717"/>
      <c r="AA78" s="2785"/>
      <c r="AG78" s="1372"/>
      <c r="AK78" s="2785"/>
    </row>
    <row r="79" spans="1:37" ht="15">
      <c r="A79" s="2862" t="s">
        <v>2964</v>
      </c>
      <c r="B79" s="2863">
        <f>1+E81</f>
        <v>1</v>
      </c>
      <c r="C79" s="814"/>
      <c r="D79" s="814"/>
      <c r="E79" s="815"/>
      <c r="F79" s="2865"/>
      <c r="G79" s="6"/>
      <c r="H79" s="6"/>
      <c r="I79" s="6"/>
      <c r="J79" s="7"/>
      <c r="K79" s="7"/>
      <c r="L79" s="7"/>
      <c r="M79" s="7"/>
      <c r="N79" s="7"/>
      <c r="Z79" s="2717"/>
      <c r="AA79" s="2785"/>
      <c r="AG79" s="1372"/>
      <c r="AK79" s="2785"/>
    </row>
    <row r="80" spans="1:37" ht="24.75">
      <c r="A80" s="2866" t="s">
        <v>2938</v>
      </c>
      <c r="B80" s="1808"/>
      <c r="C80" s="1808" t="s">
        <v>2940</v>
      </c>
      <c r="D80" s="1808" t="s">
        <v>2941</v>
      </c>
      <c r="E80" s="819" t="s">
        <v>2942</v>
      </c>
      <c r="F80" s="2867" t="s">
        <v>2958</v>
      </c>
      <c r="G80" s="1808" t="s">
        <v>754</v>
      </c>
      <c r="H80" s="2868" t="s">
        <v>2944</v>
      </c>
      <c r="I80" s="1808" t="s">
        <v>2945</v>
      </c>
      <c r="J80" s="603" t="s">
        <v>2594</v>
      </c>
      <c r="K80" s="603" t="s">
        <v>2595</v>
      </c>
      <c r="L80" s="603" t="s">
        <v>2596</v>
      </c>
      <c r="M80" s="603" t="s">
        <v>2597</v>
      </c>
      <c r="N80" s="603" t="s">
        <v>2598</v>
      </c>
      <c r="Z80" s="2717"/>
      <c r="AA80" s="2785"/>
      <c r="AG80" s="1372"/>
      <c r="AK80" s="2785"/>
    </row>
    <row r="81" spans="1:37" ht="38.25">
      <c r="A81" s="2866" t="s">
        <v>2965</v>
      </c>
      <c r="B81" s="2870" t="str">
        <f>估价对象房地状况!G15</f>
        <v>估价对象位于XX开发区，园区建设成熟度XX，产业集聚程度XX</v>
      </c>
      <c r="C81" s="2767"/>
      <c r="D81" s="1286">
        <f t="shared" ref="D81:D88" si="26">SUMIF($J$80:$N$80,C81,J81:N81)</f>
        <v>0</v>
      </c>
      <c r="E81" s="821">
        <f>ROUND(SUM(D81:D88),4)</f>
        <v>0</v>
      </c>
      <c r="F81" s="2498"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17"/>
      <c r="AA81" s="2785"/>
      <c r="AG81" s="1372"/>
      <c r="AK81" s="2785"/>
    </row>
    <row r="82" spans="1:37" ht="51">
      <c r="A82" s="2866" t="s">
        <v>2947</v>
      </c>
      <c r="B82" s="2870" t="str">
        <f>估价对象房地状况!G16</f>
        <v>估价对象周边道路状况、公共交通通达情况、停车便捷程度，综合评价交通便捷度较好</v>
      </c>
      <c r="C82" s="2767"/>
      <c r="D82" s="1286">
        <f t="shared" si="26"/>
        <v>0</v>
      </c>
      <c r="E82" s="826"/>
      <c r="F82" s="2498"/>
      <c r="G82" s="1284"/>
      <c r="H82" s="1288" t="str">
        <f t="shared" si="27"/>
        <v>——</v>
      </c>
      <c r="I82" s="820">
        <v>0.33</v>
      </c>
      <c r="J82" s="1285">
        <f t="shared" si="28"/>
        <v>0</v>
      </c>
      <c r="K82" s="1285">
        <f t="shared" si="29"/>
        <v>0</v>
      </c>
      <c r="L82" s="1285">
        <v>0</v>
      </c>
      <c r="M82" s="1285">
        <f t="shared" si="30"/>
        <v>0</v>
      </c>
      <c r="N82" s="1285">
        <f t="shared" si="30"/>
        <v>0</v>
      </c>
      <c r="Z82" s="2717"/>
      <c r="AA82" s="2785"/>
      <c r="AG82" s="1372"/>
      <c r="AK82" s="2785"/>
    </row>
    <row r="83" spans="1:37" ht="24">
      <c r="A83" s="2866" t="s">
        <v>2948</v>
      </c>
      <c r="B83" s="2870">
        <f>估价对象房地状况!G17</f>
        <v>0</v>
      </c>
      <c r="C83" s="2767"/>
      <c r="D83" s="1286">
        <f t="shared" si="26"/>
        <v>0</v>
      </c>
      <c r="E83" s="826"/>
      <c r="F83" s="2498"/>
      <c r="G83" s="1284"/>
      <c r="H83" s="1288" t="str">
        <f t="shared" si="27"/>
        <v>——</v>
      </c>
      <c r="I83" s="820">
        <v>0.05</v>
      </c>
      <c r="J83" s="1285">
        <f t="shared" si="28"/>
        <v>0</v>
      </c>
      <c r="K83" s="1285">
        <f t="shared" si="29"/>
        <v>0</v>
      </c>
      <c r="L83" s="1285">
        <v>0</v>
      </c>
      <c r="M83" s="1285">
        <f t="shared" si="30"/>
        <v>0</v>
      </c>
      <c r="N83" s="1285">
        <f t="shared" si="30"/>
        <v>0</v>
      </c>
      <c r="Z83" s="2717"/>
      <c r="AA83" s="2785"/>
      <c r="AG83" s="1372"/>
      <c r="AK83" s="2785"/>
    </row>
    <row r="84" spans="1:37" ht="14.25">
      <c r="A84" s="2866" t="s">
        <v>2962</v>
      </c>
      <c r="B84" s="2870">
        <f>估价对象房地状况!G22</f>
        <v>0</v>
      </c>
      <c r="C84" s="2767"/>
      <c r="D84" s="1286">
        <f t="shared" si="26"/>
        <v>0</v>
      </c>
      <c r="E84" s="826"/>
      <c r="F84" s="2498"/>
      <c r="G84" s="1284"/>
      <c r="H84" s="1288" t="str">
        <f t="shared" si="27"/>
        <v>——</v>
      </c>
      <c r="I84" s="820">
        <v>0.04</v>
      </c>
      <c r="J84" s="1285">
        <f t="shared" si="28"/>
        <v>0</v>
      </c>
      <c r="K84" s="1285">
        <f t="shared" si="29"/>
        <v>0</v>
      </c>
      <c r="L84" s="1285">
        <v>0</v>
      </c>
      <c r="M84" s="1285">
        <f t="shared" si="30"/>
        <v>0</v>
      </c>
      <c r="N84" s="1285">
        <f t="shared" si="30"/>
        <v>0</v>
      </c>
      <c r="Z84" s="2717"/>
      <c r="AA84" s="2785"/>
      <c r="AG84" s="1372"/>
      <c r="AK84" s="2785"/>
    </row>
    <row r="85" spans="1:37" ht="25.5">
      <c r="A85" s="2866" t="s">
        <v>2954</v>
      </c>
      <c r="B85" s="1725" t="str">
        <f>估价对象房地状况!G19</f>
        <v>估价对象所在区域公共配套设施齐备情况</v>
      </c>
      <c r="C85" s="2767"/>
      <c r="D85" s="1286">
        <f t="shared" si="26"/>
        <v>0</v>
      </c>
      <c r="E85" s="826"/>
      <c r="F85" s="2498"/>
      <c r="G85" s="1284"/>
      <c r="H85" s="1288" t="str">
        <f t="shared" si="27"/>
        <v>——</v>
      </c>
      <c r="I85" s="820">
        <v>0.06</v>
      </c>
      <c r="J85" s="1285">
        <f t="shared" si="28"/>
        <v>0</v>
      </c>
      <c r="K85" s="1285">
        <f t="shared" si="29"/>
        <v>0</v>
      </c>
      <c r="L85" s="1285">
        <v>0</v>
      </c>
      <c r="M85" s="1285">
        <f t="shared" si="30"/>
        <v>0</v>
      </c>
      <c r="N85" s="1285">
        <f t="shared" si="30"/>
        <v>0</v>
      </c>
      <c r="Z85" s="2717"/>
      <c r="AA85" s="2785"/>
      <c r="AG85" s="1372"/>
      <c r="AK85" s="2785"/>
    </row>
    <row r="86" spans="1:37" ht="25.5">
      <c r="A86" s="2866" t="s">
        <v>2955</v>
      </c>
      <c r="B86" s="1725" t="str">
        <f>估价对象房地状况!G20</f>
        <v>估价对象所在区域基础设施水平</v>
      </c>
      <c r="C86" s="2767"/>
      <c r="D86" s="1286">
        <f t="shared" si="26"/>
        <v>0</v>
      </c>
      <c r="E86" s="826"/>
      <c r="F86" s="2498"/>
      <c r="G86" s="1284"/>
      <c r="H86" s="1288" t="str">
        <f t="shared" si="27"/>
        <v>——</v>
      </c>
      <c r="I86" s="820">
        <v>0.15</v>
      </c>
      <c r="J86" s="1285">
        <f t="shared" si="28"/>
        <v>0</v>
      </c>
      <c r="K86" s="1285">
        <f t="shared" si="29"/>
        <v>0</v>
      </c>
      <c r="L86" s="1285">
        <v>0</v>
      </c>
      <c r="M86" s="1285">
        <f t="shared" si="30"/>
        <v>0</v>
      </c>
      <c r="N86" s="1285">
        <f t="shared" si="30"/>
        <v>0</v>
      </c>
      <c r="Z86" s="2717"/>
      <c r="AA86" s="2785"/>
      <c r="AG86" s="1372"/>
      <c r="AK86" s="2785"/>
    </row>
    <row r="87" spans="1:37" ht="24">
      <c r="A87" s="2866" t="s">
        <v>2952</v>
      </c>
      <c r="B87" s="2872" t="s">
        <v>2966</v>
      </c>
      <c r="C87" s="2767"/>
      <c r="D87" s="1286">
        <f t="shared" si="26"/>
        <v>0</v>
      </c>
      <c r="E87" s="826"/>
      <c r="F87" s="2498"/>
      <c r="G87" s="1284"/>
      <c r="H87" s="1288" t="str">
        <f t="shared" si="27"/>
        <v>——</v>
      </c>
      <c r="I87" s="820">
        <v>0.05</v>
      </c>
      <c r="J87" s="1285">
        <f t="shared" si="28"/>
        <v>0</v>
      </c>
      <c r="K87" s="1285">
        <f t="shared" si="29"/>
        <v>0</v>
      </c>
      <c r="L87" s="1285">
        <v>0</v>
      </c>
      <c r="M87" s="1285">
        <f t="shared" si="30"/>
        <v>0</v>
      </c>
      <c r="N87" s="1285">
        <f t="shared" si="30"/>
        <v>0</v>
      </c>
      <c r="Z87" s="2717"/>
      <c r="AA87" s="2785"/>
      <c r="AG87" s="1372"/>
      <c r="AK87" s="2785"/>
    </row>
    <row r="88" spans="1:37" ht="39" thickBot="1">
      <c r="A88" s="2874" t="s">
        <v>2967</v>
      </c>
      <c r="B88" s="2879" t="str">
        <f>估价对象房地状况!G18</f>
        <v>该园区内是否有污染型企业，绿化情况，卫生条件，整体环境状况判断</v>
      </c>
      <c r="C88" s="2767"/>
      <c r="D88" s="1286">
        <f t="shared" si="26"/>
        <v>0</v>
      </c>
      <c r="E88" s="827"/>
      <c r="F88" s="2498"/>
      <c r="G88" s="1284"/>
      <c r="H88" s="1288" t="str">
        <f t="shared" si="27"/>
        <v>——</v>
      </c>
      <c r="I88" s="824">
        <v>0.06</v>
      </c>
      <c r="J88" s="1285">
        <f t="shared" si="28"/>
        <v>0</v>
      </c>
      <c r="K88" s="1285">
        <f t="shared" si="29"/>
        <v>0</v>
      </c>
      <c r="L88" s="1285">
        <v>0</v>
      </c>
      <c r="M88" s="1285">
        <f t="shared" si="30"/>
        <v>0</v>
      </c>
      <c r="N88" s="1285">
        <f t="shared" si="30"/>
        <v>0</v>
      </c>
      <c r="Z88" s="2717"/>
      <c r="AA88" s="2785"/>
      <c r="AG88" s="1372"/>
      <c r="AK88" s="2785"/>
    </row>
    <row r="90" spans="1:37">
      <c r="A90" s="3172" t="s">
        <v>2968</v>
      </c>
      <c r="B90" s="3172"/>
      <c r="C90" s="3172"/>
      <c r="D90" s="3172"/>
      <c r="E90" s="3172"/>
      <c r="F90" s="3172"/>
      <c r="G90" s="3172"/>
      <c r="H90" s="3172"/>
      <c r="I90" s="3172"/>
      <c r="J90" s="3172"/>
      <c r="K90" s="2880"/>
      <c r="L90" s="2880"/>
      <c r="M90" s="2880"/>
      <c r="N90" s="2880"/>
    </row>
    <row r="91" spans="1:37">
      <c r="A91" s="3174" t="s">
        <v>2969</v>
      </c>
      <c r="B91" s="3174" t="s">
        <v>2970</v>
      </c>
      <c r="C91" s="2834" t="s">
        <v>2971</v>
      </c>
      <c r="D91" s="2835"/>
      <c r="E91" s="2835"/>
      <c r="F91" s="2835"/>
      <c r="G91" s="2835"/>
      <c r="H91" s="2835"/>
      <c r="I91" s="2835"/>
      <c r="J91" s="2881"/>
      <c r="K91" s="2882"/>
      <c r="L91" s="2882"/>
      <c r="M91" s="2882"/>
      <c r="N91" s="2882"/>
    </row>
    <row r="92" spans="1:37">
      <c r="A92" s="3174"/>
      <c r="B92" s="3174"/>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175" t="s">
        <v>2972</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176"/>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176"/>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176"/>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176"/>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176"/>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176"/>
      <c r="B99" s="2883" t="s">
        <v>2854</v>
      </c>
      <c r="C99" s="2885">
        <f>$I$3</f>
        <v>0</v>
      </c>
      <c r="D99" s="2885">
        <f t="shared" ref="D99:M99" si="31">$I$3</f>
        <v>0</v>
      </c>
      <c r="E99" s="2885">
        <f t="shared" si="31"/>
        <v>0</v>
      </c>
      <c r="F99" s="2885">
        <f t="shared" si="31"/>
        <v>0</v>
      </c>
      <c r="G99" s="2885">
        <f t="shared" si="31"/>
        <v>0</v>
      </c>
      <c r="H99" s="2885">
        <f t="shared" si="31"/>
        <v>0</v>
      </c>
      <c r="I99" s="2885">
        <f t="shared" si="31"/>
        <v>0</v>
      </c>
      <c r="J99" s="2885">
        <f t="shared" si="31"/>
        <v>0</v>
      </c>
      <c r="K99" s="2885">
        <f t="shared" si="31"/>
        <v>0</v>
      </c>
      <c r="L99" s="2885">
        <f t="shared" si="31"/>
        <v>0</v>
      </c>
      <c r="M99" s="2885">
        <f t="shared" si="31"/>
        <v>0</v>
      </c>
      <c r="N99" s="2885">
        <f>$I$3</f>
        <v>0</v>
      </c>
    </row>
    <row r="100" spans="1:14">
      <c r="A100" s="3177"/>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175" t="s">
        <v>2973</v>
      </c>
      <c r="B101" s="2887" t="s">
        <v>2974</v>
      </c>
      <c r="C101" s="2888">
        <f>$G$3</f>
        <v>4.38</v>
      </c>
      <c r="D101" s="2888">
        <f t="shared" ref="D101:N101" si="32">$G$3</f>
        <v>4.38</v>
      </c>
      <c r="E101" s="2888">
        <f t="shared" si="32"/>
        <v>4.38</v>
      </c>
      <c r="F101" s="2888">
        <f t="shared" si="32"/>
        <v>4.38</v>
      </c>
      <c r="G101" s="2888">
        <f t="shared" si="32"/>
        <v>4.38</v>
      </c>
      <c r="H101" s="2888">
        <f t="shared" si="32"/>
        <v>4.38</v>
      </c>
      <c r="I101" s="2888">
        <f t="shared" si="32"/>
        <v>4.38</v>
      </c>
      <c r="J101" s="2888">
        <f t="shared" si="32"/>
        <v>4.38</v>
      </c>
      <c r="K101" s="2888">
        <f t="shared" si="32"/>
        <v>4.38</v>
      </c>
      <c r="L101" s="2888">
        <f t="shared" si="32"/>
        <v>4.38</v>
      </c>
      <c r="M101" s="2888">
        <f t="shared" si="32"/>
        <v>4.38</v>
      </c>
      <c r="N101" s="2888">
        <f t="shared" si="32"/>
        <v>4.38</v>
      </c>
    </row>
    <row r="102" spans="1:14">
      <c r="A102" s="3176"/>
      <c r="B102" s="2883">
        <v>1</v>
      </c>
      <c r="C102" s="2884">
        <f>1.9362/C101</f>
        <v>0.44205479452054791</v>
      </c>
      <c r="D102" s="2884">
        <f>1.9362/D101</f>
        <v>0.44205479452054791</v>
      </c>
      <c r="E102" s="2884">
        <f>1.8629/E101</f>
        <v>0.42531963470319634</v>
      </c>
      <c r="F102" s="2884">
        <f>1.8629/F101</f>
        <v>0.42531963470319634</v>
      </c>
      <c r="G102" s="2884">
        <f>1.8629/G101</f>
        <v>0.42531963470319634</v>
      </c>
      <c r="H102" s="2884">
        <f>1.8629/H101</f>
        <v>0.42531963470319634</v>
      </c>
      <c r="I102" s="2884">
        <f>1.8629/I101</f>
        <v>0.42531963470319634</v>
      </c>
      <c r="J102" s="2884">
        <f>1.942/J101</f>
        <v>0.44337899543378995</v>
      </c>
      <c r="K102" s="2884">
        <f>1.942/K101</f>
        <v>0.44337899543378995</v>
      </c>
      <c r="L102" s="2884">
        <f>1.942/L101</f>
        <v>0.44337899543378995</v>
      </c>
      <c r="M102" s="2884">
        <f>1.942/M101</f>
        <v>0.44337899543378995</v>
      </c>
      <c r="N102" s="2884">
        <f>1.942/N101</f>
        <v>0.44337899543378995</v>
      </c>
    </row>
    <row r="103" spans="1:14">
      <c r="A103" s="3176"/>
      <c r="B103" s="2883">
        <v>2</v>
      </c>
      <c r="C103" s="2884">
        <f>1.4198/C101</f>
        <v>0.32415525114155253</v>
      </c>
      <c r="D103" s="2884">
        <f>1.4198/D101</f>
        <v>0.32415525114155253</v>
      </c>
      <c r="E103" s="2884">
        <f>1.3372/E101</f>
        <v>0.30529680365296802</v>
      </c>
      <c r="F103" s="2884">
        <f>1.3372/F101</f>
        <v>0.30529680365296802</v>
      </c>
      <c r="G103" s="2884">
        <f>1.3372/G101</f>
        <v>0.30529680365296802</v>
      </c>
      <c r="H103" s="2884">
        <f>1.3372/H101</f>
        <v>0.30529680365296802</v>
      </c>
      <c r="I103" s="2884">
        <f>1.3372/I101</f>
        <v>0.30529680365296802</v>
      </c>
      <c r="J103" s="2884">
        <f>1.2799/J101</f>
        <v>0.29221461187214615</v>
      </c>
      <c r="K103" s="2884">
        <f>1.2799/K101</f>
        <v>0.29221461187214615</v>
      </c>
      <c r="L103" s="2884">
        <f>1.2799/L101</f>
        <v>0.29221461187214615</v>
      </c>
      <c r="M103" s="2884">
        <f>1.2799/M101</f>
        <v>0.29221461187214615</v>
      </c>
      <c r="N103" s="2884">
        <f>1.2799/N101</f>
        <v>0.29221461187214615</v>
      </c>
    </row>
    <row r="104" spans="1:14">
      <c r="A104" s="3176"/>
      <c r="B104" s="2883">
        <v>3</v>
      </c>
      <c r="C104" s="2884">
        <f>1.1594/C101</f>
        <v>0.26470319634703199</v>
      </c>
      <c r="D104" s="2884">
        <f>1.1594/D101</f>
        <v>0.26470319634703199</v>
      </c>
      <c r="E104" s="2884">
        <f>1.0788/E101</f>
        <v>0.24630136986301371</v>
      </c>
      <c r="F104" s="2884">
        <f>1.0788/F101</f>
        <v>0.24630136986301371</v>
      </c>
      <c r="G104" s="2884">
        <f>1.0788/G101</f>
        <v>0.24630136986301371</v>
      </c>
      <c r="H104" s="2884">
        <f>1.0788/H101</f>
        <v>0.24630136986301371</v>
      </c>
      <c r="I104" s="2884">
        <f>1.0788/I101</f>
        <v>0.24630136986301371</v>
      </c>
      <c r="J104" s="2884">
        <f>1.0072/J101</f>
        <v>0.22995433789954339</v>
      </c>
      <c r="K104" s="2884">
        <f>1.0072/K101</f>
        <v>0.22995433789954339</v>
      </c>
      <c r="L104" s="2884">
        <f>1.0072/L101</f>
        <v>0.22995433789954339</v>
      </c>
      <c r="M104" s="2884">
        <f>1.0072/M101</f>
        <v>0.22995433789954339</v>
      </c>
      <c r="N104" s="2884">
        <f>1.0072/N101</f>
        <v>0.22995433789954339</v>
      </c>
    </row>
    <row r="105" spans="1:14">
      <c r="A105" s="3176"/>
      <c r="B105" s="2883">
        <v>4</v>
      </c>
      <c r="C105" s="2884">
        <f>0.9622/C101</f>
        <v>0.21968036529680368</v>
      </c>
      <c r="D105" s="2884">
        <f>0.9622/D101</f>
        <v>0.21968036529680368</v>
      </c>
      <c r="E105" s="2884">
        <f>0.8656/E101</f>
        <v>0.19762557077625573</v>
      </c>
      <c r="F105" s="2884">
        <f>0.8656/F101</f>
        <v>0.19762557077625573</v>
      </c>
      <c r="G105" s="2884">
        <f>0.8656/G101</f>
        <v>0.19762557077625573</v>
      </c>
      <c r="H105" s="2884">
        <f>0.8656/H101</f>
        <v>0.19762557077625573</v>
      </c>
      <c r="I105" s="2884">
        <f>0.8656/I101</f>
        <v>0.19762557077625573</v>
      </c>
      <c r="J105" s="2884">
        <f>0.7525/J101</f>
        <v>0.17180365296803651</v>
      </c>
      <c r="K105" s="2884">
        <f>0.7525/K101</f>
        <v>0.17180365296803651</v>
      </c>
      <c r="L105" s="2884">
        <f>0.7525/L101</f>
        <v>0.17180365296803651</v>
      </c>
      <c r="M105" s="2884">
        <f>0.7525/M101</f>
        <v>0.17180365296803651</v>
      </c>
      <c r="N105" s="2884">
        <f>0.7525/N101</f>
        <v>0.17180365296803651</v>
      </c>
    </row>
    <row r="106" spans="1:14">
      <c r="A106" s="3176"/>
      <c r="B106" s="2883">
        <v>5</v>
      </c>
      <c r="C106" s="2884">
        <f>0.8417/C101</f>
        <v>0.1921689497716895</v>
      </c>
      <c r="D106" s="2884">
        <f>0.8417/D101</f>
        <v>0.1921689497716895</v>
      </c>
      <c r="E106" s="2884">
        <f>0.7371/E101</f>
        <v>0.16828767123287672</v>
      </c>
      <c r="F106" s="2884">
        <f>0.7371/F101</f>
        <v>0.16828767123287672</v>
      </c>
      <c r="G106" s="2884">
        <f>0.7371/G101</f>
        <v>0.16828767123287672</v>
      </c>
      <c r="H106" s="2884">
        <f>0.7371/H101</f>
        <v>0.16828767123287672</v>
      </c>
      <c r="I106" s="2884">
        <f>0.7371/I101</f>
        <v>0.16828767123287672</v>
      </c>
      <c r="J106" s="2884">
        <f>0.5659/J101</f>
        <v>0.12920091324200914</v>
      </c>
      <c r="K106" s="2884">
        <f>0.5659/K101</f>
        <v>0.12920091324200914</v>
      </c>
      <c r="L106" s="2884">
        <f>0.5659/L101</f>
        <v>0.12920091324200914</v>
      </c>
      <c r="M106" s="2884">
        <f>0.5659/M101</f>
        <v>0.12920091324200914</v>
      </c>
      <c r="N106" s="2884">
        <f>0.5659/N101</f>
        <v>0.12920091324200914</v>
      </c>
    </row>
    <row r="107" spans="1:14">
      <c r="A107" s="3176"/>
      <c r="B107" s="2883">
        <v>6</v>
      </c>
      <c r="C107" s="2884">
        <f>0.7608/C101</f>
        <v>0.1736986301369863</v>
      </c>
      <c r="D107" s="2884">
        <f>0.7608/D101</f>
        <v>0.1736986301369863</v>
      </c>
      <c r="E107" s="2884">
        <f>0.6482/E101</f>
        <v>0.14799086757990867</v>
      </c>
      <c r="F107" s="2884">
        <f>0.6482/F101</f>
        <v>0.14799086757990867</v>
      </c>
      <c r="G107" s="2884">
        <f>0.6482/G101</f>
        <v>0.14799086757990867</v>
      </c>
      <c r="H107" s="2884">
        <f>0.6482/H101</f>
        <v>0.14799086757990867</v>
      </c>
      <c r="I107" s="2884">
        <f>0.6482/I101</f>
        <v>0.14799086757990867</v>
      </c>
      <c r="J107" s="2884">
        <f>0.4525/J101</f>
        <v>0.10331050228310502</v>
      </c>
      <c r="K107" s="2884">
        <f>0.4525/K101</f>
        <v>0.10331050228310502</v>
      </c>
      <c r="L107" s="2884">
        <f>0.4525/L101</f>
        <v>0.10331050228310502</v>
      </c>
      <c r="M107" s="2884">
        <f>0.4525/M101</f>
        <v>0.10331050228310502</v>
      </c>
      <c r="N107" s="2884">
        <f>0.4525/N101</f>
        <v>0.10331050228310502</v>
      </c>
    </row>
    <row r="108" spans="1:14">
      <c r="A108" s="3176"/>
      <c r="B108" s="3101" t="s">
        <v>2975</v>
      </c>
      <c r="C108" s="2885">
        <f>C99</f>
        <v>0</v>
      </c>
      <c r="D108" s="2885">
        <f t="shared" ref="D108:N108" si="33">D99</f>
        <v>0</v>
      </c>
      <c r="E108" s="2885">
        <f t="shared" si="33"/>
        <v>0</v>
      </c>
      <c r="F108" s="2885">
        <f t="shared" si="33"/>
        <v>0</v>
      </c>
      <c r="G108" s="2885">
        <f t="shared" si="33"/>
        <v>0</v>
      </c>
      <c r="H108" s="2885">
        <f t="shared" si="33"/>
        <v>0</v>
      </c>
      <c r="I108" s="2885">
        <f t="shared" si="33"/>
        <v>0</v>
      </c>
      <c r="J108" s="2885">
        <f t="shared" si="33"/>
        <v>0</v>
      </c>
      <c r="K108" s="2885">
        <f t="shared" si="33"/>
        <v>0</v>
      </c>
      <c r="L108" s="2885">
        <f t="shared" si="33"/>
        <v>0</v>
      </c>
      <c r="M108" s="2885">
        <f t="shared" si="33"/>
        <v>0</v>
      </c>
      <c r="N108" s="2885">
        <f t="shared" si="33"/>
        <v>0</v>
      </c>
    </row>
    <row r="109" spans="1:14">
      <c r="A109" s="3177"/>
      <c r="B109" s="3102"/>
      <c r="C109" s="2886">
        <f>(-0.163*(C108^2)-0.59*C108+7617)*(10^(-4))/C101</f>
        <v>0.17390410958904112</v>
      </c>
      <c r="D109" s="2886">
        <f>(-0.163*(D108^2)-0.59*D108+7617)*(10^(-4))/D101</f>
        <v>0.17390410958904112</v>
      </c>
      <c r="E109" s="2886">
        <f>(-0.161*(E108^2)-7.509*E108+6533)*(10^(-4))/E101</f>
        <v>0.14915525114155251</v>
      </c>
      <c r="F109" s="2886">
        <f>(-0.161*(F108^2)-7.509*F108+6533)*(10^(-4))/F101</f>
        <v>0.14915525114155251</v>
      </c>
      <c r="G109" s="2886">
        <f>(-0.161*(G108^2)-7.509*G108+6533)*(10^(-4))/G101</f>
        <v>0.14915525114155251</v>
      </c>
      <c r="H109" s="2886">
        <f>(-0.161*(H108^2)-7.509*H108+6533)*(10^(-4))/H101</f>
        <v>0.14915525114155251</v>
      </c>
      <c r="I109" s="2886">
        <f>(-0.161*(I108^2)-7.509*I108+6533)*(10^(-4))/I101</f>
        <v>0.14915525114155251</v>
      </c>
      <c r="J109" s="2886">
        <f>(-0.214*(J108^2)-21.991*J108+4665)*(10^(-4))/J101</f>
        <v>0.1065068493150685</v>
      </c>
      <c r="K109" s="2886">
        <f>(-0.214*(K108^2)-21.991*K108+4665)*(10^(-4))/K101</f>
        <v>0.1065068493150685</v>
      </c>
      <c r="L109" s="2886">
        <f>(-0.214*(L108^2)-21.991*L108+4665)*(10^(-4))/L101</f>
        <v>0.1065068493150685</v>
      </c>
      <c r="M109" s="2886">
        <f>(-0.214*(M108^2)-21.991*M108+4665)*(10^(-4))/M101</f>
        <v>0.1065068493150685</v>
      </c>
      <c r="N109" s="2886">
        <f>(-0.214*(N108^2)-21.991*N108+4665)*(10^(-4))/N101</f>
        <v>0.1065068493150685</v>
      </c>
    </row>
    <row r="110" spans="1:14">
      <c r="A110" s="3173" t="s">
        <v>2976</v>
      </c>
      <c r="B110" s="3173"/>
      <c r="C110" s="3173"/>
      <c r="D110" s="3173"/>
      <c r="E110" s="3173"/>
      <c r="F110" s="3173"/>
      <c r="G110" s="3173"/>
      <c r="H110" s="3173"/>
      <c r="I110" s="3173"/>
      <c r="J110" s="3173"/>
      <c r="K110" s="2889"/>
      <c r="L110" s="2889"/>
      <c r="M110" s="2889"/>
      <c r="N110" s="2889"/>
    </row>
    <row r="112" spans="1:14" ht="13.5" thickBot="1"/>
    <row r="113" spans="1:13" ht="25.5" thickBot="1">
      <c r="A113" s="903" t="s">
        <v>2977</v>
      </c>
      <c r="B113" s="1287">
        <f>G3</f>
        <v>4.38</v>
      </c>
      <c r="C113" s="904" t="s">
        <v>2978</v>
      </c>
      <c r="D113" s="905">
        <f>SUMPRODUCT((A115:A118=F113)*(B114:M114=H113)*B115:M118)</f>
        <v>0.89229999999999998</v>
      </c>
      <c r="E113" s="2721" t="s">
        <v>2811</v>
      </c>
      <c r="F113" s="2891" t="str">
        <f>E2</f>
        <v>商业</v>
      </c>
      <c r="G113" s="2721" t="s">
        <v>2812</v>
      </c>
      <c r="H113" s="2891" t="str">
        <f>G2</f>
        <v>二级</v>
      </c>
      <c r="I113" s="2721"/>
      <c r="J113" s="2892"/>
      <c r="K113" s="2892"/>
      <c r="L113" s="2892"/>
      <c r="M113" s="2892"/>
    </row>
    <row r="114" spans="1:13">
      <c r="A114" s="908"/>
      <c r="B114" s="2893" t="s">
        <v>2979</v>
      </c>
      <c r="C114" s="2893" t="s">
        <v>2980</v>
      </c>
      <c r="D114" s="2893" t="s">
        <v>2981</v>
      </c>
      <c r="E114" s="2894" t="s">
        <v>2982</v>
      </c>
      <c r="F114" s="2894" t="s">
        <v>2983</v>
      </c>
      <c r="G114" s="2894" t="s">
        <v>2984</v>
      </c>
      <c r="H114" s="2895" t="s">
        <v>2985</v>
      </c>
      <c r="I114" s="2895" t="s">
        <v>2986</v>
      </c>
      <c r="J114" s="2896" t="s">
        <v>2987</v>
      </c>
      <c r="K114" s="2896" t="s">
        <v>2988</v>
      </c>
      <c r="L114" s="2896" t="s">
        <v>2989</v>
      </c>
      <c r="M114" s="2897" t="s">
        <v>2990</v>
      </c>
    </row>
    <row r="115" spans="1:13">
      <c r="A115" s="909" t="s">
        <v>2876</v>
      </c>
      <c r="B115" s="910">
        <f>ROUND(0.9335-0.0094*B113,4)</f>
        <v>0.89229999999999998</v>
      </c>
      <c r="C115" s="910">
        <f>B115</f>
        <v>0.89229999999999998</v>
      </c>
      <c r="D115" s="910">
        <f>ROUND(0.8331-0.0109*B113,4)</f>
        <v>0.78539999999999999</v>
      </c>
      <c r="E115" s="910">
        <f>D115</f>
        <v>0.78539999999999999</v>
      </c>
      <c r="F115" s="910">
        <f>E115</f>
        <v>0.78539999999999999</v>
      </c>
      <c r="G115" s="910">
        <f>F115</f>
        <v>0.78539999999999999</v>
      </c>
      <c r="H115" s="910">
        <f>G115</f>
        <v>0.78539999999999999</v>
      </c>
      <c r="I115" s="910">
        <f>ROUND(0.689-0.0155*B113,4)</f>
        <v>0.62109999999999999</v>
      </c>
      <c r="J115" s="910">
        <f t="shared" ref="J115:M118" si="34">I115</f>
        <v>0.62109999999999999</v>
      </c>
      <c r="K115" s="910">
        <f t="shared" si="34"/>
        <v>0.62109999999999999</v>
      </c>
      <c r="L115" s="910">
        <f t="shared" si="34"/>
        <v>0.62109999999999999</v>
      </c>
      <c r="M115" s="911">
        <f t="shared" si="34"/>
        <v>0.62109999999999999</v>
      </c>
    </row>
    <row r="116" spans="1:13">
      <c r="A116" s="909" t="s">
        <v>2877</v>
      </c>
      <c r="B116" s="910">
        <f>ROUND(0.949-0.012*B113,4)</f>
        <v>0.89639999999999997</v>
      </c>
      <c r="C116" s="910">
        <f>B116</f>
        <v>0.89639999999999997</v>
      </c>
      <c r="D116" s="910">
        <f>ROUND(0.8567-0.013*B113,4)</f>
        <v>0.79979999999999996</v>
      </c>
      <c r="E116" s="910">
        <f t="shared" ref="E116:H117" si="35">D116</f>
        <v>0.79979999999999996</v>
      </c>
      <c r="F116" s="910">
        <f t="shared" si="35"/>
        <v>0.79979999999999996</v>
      </c>
      <c r="G116" s="910">
        <f t="shared" si="35"/>
        <v>0.79979999999999996</v>
      </c>
      <c r="H116" s="910">
        <f t="shared" si="35"/>
        <v>0.79979999999999996</v>
      </c>
      <c r="I116" s="910">
        <f>ROUND(0.7694-0.014*B113,4)</f>
        <v>0.70809999999999995</v>
      </c>
      <c r="J116" s="910">
        <f t="shared" si="34"/>
        <v>0.70809999999999995</v>
      </c>
      <c r="K116" s="910">
        <f t="shared" si="34"/>
        <v>0.70809999999999995</v>
      </c>
      <c r="L116" s="910">
        <f t="shared" si="34"/>
        <v>0.70809999999999995</v>
      </c>
      <c r="M116" s="911">
        <f t="shared" si="34"/>
        <v>0.70809999999999995</v>
      </c>
    </row>
    <row r="117" spans="1:13">
      <c r="A117" s="909" t="s">
        <v>2878</v>
      </c>
      <c r="B117" s="910">
        <f>ROUND(0.8808-0.006*B113,4)</f>
        <v>0.85450000000000004</v>
      </c>
      <c r="C117" s="910">
        <f>B117</f>
        <v>0.85450000000000004</v>
      </c>
      <c r="D117" s="910">
        <f>ROUND(0.8748-0.008*B113,4)</f>
        <v>0.83979999999999999</v>
      </c>
      <c r="E117" s="910">
        <f t="shared" si="35"/>
        <v>0.83979999999999999</v>
      </c>
      <c r="F117" s="910">
        <f t="shared" si="35"/>
        <v>0.83979999999999999</v>
      </c>
      <c r="G117" s="910">
        <f t="shared" si="35"/>
        <v>0.83979999999999999</v>
      </c>
      <c r="H117" s="910">
        <f t="shared" si="35"/>
        <v>0.83979999999999999</v>
      </c>
      <c r="I117" s="910">
        <f>ROUND(0.7412-0.0095*B113,4)</f>
        <v>0.6996</v>
      </c>
      <c r="J117" s="910">
        <f t="shared" si="34"/>
        <v>0.6996</v>
      </c>
      <c r="K117" s="910">
        <f t="shared" si="34"/>
        <v>0.6996</v>
      </c>
      <c r="L117" s="910">
        <f t="shared" si="34"/>
        <v>0.6996</v>
      </c>
      <c r="M117" s="911">
        <f t="shared" si="34"/>
        <v>0.6996</v>
      </c>
    </row>
    <row r="118" spans="1:13" ht="13.5" thickBot="1">
      <c r="A118" s="714" t="s">
        <v>2879</v>
      </c>
      <c r="B118" s="912">
        <f>ROUND(0.7275-0.01*B113,4)</f>
        <v>0.68369999999999997</v>
      </c>
      <c r="C118" s="912">
        <f>B118</f>
        <v>0.68369999999999997</v>
      </c>
      <c r="D118" s="912">
        <f>ROUND(0.7043-0.012*B113,4)</f>
        <v>0.65169999999999995</v>
      </c>
      <c r="E118" s="912">
        <f>D118</f>
        <v>0.65169999999999995</v>
      </c>
      <c r="F118" s="912">
        <f>E118</f>
        <v>0.65169999999999995</v>
      </c>
      <c r="G118" s="912">
        <f>ROUND(0.6299-0.0122*B113,4)</f>
        <v>0.57650000000000001</v>
      </c>
      <c r="H118" s="912">
        <f>G118</f>
        <v>0.57650000000000001</v>
      </c>
      <c r="I118" s="912">
        <f>ROUND(0.5667-0.0136*B113,4)</f>
        <v>0.5071</v>
      </c>
      <c r="J118" s="912">
        <f t="shared" si="34"/>
        <v>0.5071</v>
      </c>
      <c r="K118" s="912">
        <f t="shared" si="34"/>
        <v>0.5071</v>
      </c>
      <c r="L118" s="912">
        <f t="shared" si="34"/>
        <v>0.5071</v>
      </c>
      <c r="M118" s="913">
        <f t="shared" si="34"/>
        <v>0.5071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70" zoomScaleNormal="70" zoomScaleSheetLayoutView="90" workbookViewId="0">
      <selection activeCell="I39" sqref="I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3063</v>
      </c>
      <c r="D1" s="1819" t="s">
        <v>70</v>
      </c>
      <c r="E1" s="1820" t="s">
        <v>1381</v>
      </c>
      <c r="F1" s="1283">
        <f ca="1">J53</f>
        <v>30</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115451</v>
      </c>
      <c r="C2" s="1844" t="s">
        <v>1510</v>
      </c>
      <c r="D2" s="1844"/>
      <c r="E2" s="1845"/>
      <c r="F2" s="1846"/>
      <c r="G2" s="1847"/>
      <c r="H2" s="1839"/>
      <c r="I2" s="1839"/>
      <c r="J2" s="1839"/>
      <c r="K2" s="1840"/>
      <c r="L2" s="1839"/>
      <c r="M2" s="1839"/>
    </row>
    <row r="3" spans="1:37" ht="18" customHeight="1" thickBot="1">
      <c r="A3" s="1848" t="s">
        <v>1511</v>
      </c>
      <c r="B3" s="1849">
        <f ca="1">IF(ISERROR(B2*10000/F43),0,ROUND(B2*10000/F43,0))</f>
        <v>22493</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8228</v>
      </c>
      <c r="D5" s="1821" t="s">
        <v>1396</v>
      </c>
      <c r="E5" s="1293"/>
      <c r="F5" s="1294"/>
      <c r="G5" s="1850"/>
      <c r="H5" s="344">
        <v>1</v>
      </c>
      <c r="I5" s="345" t="s">
        <v>1395</v>
      </c>
      <c r="J5" s="1292">
        <f ca="1">J6+J10+J12</f>
        <v>0</v>
      </c>
      <c r="K5" s="1821" t="s">
        <v>1396</v>
      </c>
      <c r="L5" s="1293"/>
      <c r="M5" s="1294"/>
    </row>
    <row r="6" spans="1:37" ht="18" customHeight="1">
      <c r="A6" s="1291" t="s">
        <v>1031</v>
      </c>
      <c r="B6" s="3195" t="s">
        <v>1397</v>
      </c>
      <c r="C6" s="1296">
        <f ca="1">ROUND(F6*F8*F7*(1-F9)/10000,0)</f>
        <v>8228</v>
      </c>
      <c r="D6" s="164" t="s">
        <v>3028</v>
      </c>
      <c r="E6" s="347" t="s">
        <v>1399</v>
      </c>
      <c r="F6" s="348">
        <f ca="1">INDIRECT("'数据-取费表'!u"&amp;$G$1)</f>
        <v>82275000</v>
      </c>
      <c r="G6" s="1850"/>
      <c r="H6" s="1291" t="s">
        <v>1031</v>
      </c>
      <c r="I6" s="3195" t="s">
        <v>1397</v>
      </c>
      <c r="J6" s="346">
        <f ca="1">ROUND(M6*M8*M7*(1-M9)/10000,0)</f>
        <v>0</v>
      </c>
      <c r="K6" s="164" t="s">
        <v>3027</v>
      </c>
      <c r="L6" s="347" t="s">
        <v>1399</v>
      </c>
      <c r="M6" s="348">
        <f ca="1">INDIRECT("'数据-取费表'!z"&amp;$G$1)</f>
        <v>0</v>
      </c>
      <c r="P6" s="1841">
        <f ca="1">F6/365/'数据-汇总表'!F31</f>
        <v>6.6114941398174922</v>
      </c>
    </row>
    <row r="7" spans="1:37" ht="18" customHeight="1">
      <c r="A7" s="1295"/>
      <c r="B7" s="3196"/>
      <c r="C7" s="1297"/>
      <c r="D7" s="352"/>
      <c r="E7" s="1298" t="s">
        <v>1400</v>
      </c>
      <c r="F7" s="348">
        <f ca="1">IF(INDIRECT("'数据-取费表'!ah"&amp;$G$1)="",INDIRECT("'数据-取费表'!k"&amp;$G$1),INDIRECT("'数据-取费表'!ah"&amp;$G$1))</f>
        <v>1</v>
      </c>
      <c r="G7" s="1850"/>
      <c r="H7" s="349"/>
      <c r="I7" s="3196"/>
      <c r="J7" s="351"/>
      <c r="K7" s="352"/>
      <c r="L7" s="347" t="s">
        <v>1400</v>
      </c>
      <c r="M7" s="348">
        <f ca="1">F7</f>
        <v>1</v>
      </c>
    </row>
    <row r="8" spans="1:37" ht="18" customHeight="1">
      <c r="A8" s="349"/>
      <c r="B8" s="3196"/>
      <c r="C8" s="351"/>
      <c r="D8" s="352"/>
      <c r="E8" s="347" t="s">
        <v>1401</v>
      </c>
      <c r="F8" s="348">
        <f ca="1">INDIRECT("'数据-取费表'!ai"&amp;$G$1)</f>
        <v>1</v>
      </c>
      <c r="G8" s="1850"/>
      <c r="H8" s="349"/>
      <c r="I8" s="3196"/>
      <c r="J8" s="351"/>
      <c r="K8" s="352"/>
      <c r="L8" s="347" t="s">
        <v>1401</v>
      </c>
      <c r="M8" s="348">
        <f ca="1">INDIRECT("'数据-取费表'!ai"&amp;$G$1)</f>
        <v>1</v>
      </c>
    </row>
    <row r="9" spans="1:37" ht="18" customHeight="1">
      <c r="A9" s="349"/>
      <c r="B9" s="3197"/>
      <c r="C9" s="351"/>
      <c r="D9" s="352"/>
      <c r="E9" s="347" t="s">
        <v>1402</v>
      </c>
      <c r="F9" s="357">
        <f ca="1">INDIRECT("'数据-取费表'!w"&amp;$G$1)</f>
        <v>0</v>
      </c>
      <c r="G9" s="1850"/>
      <c r="H9" s="349"/>
      <c r="I9" s="3197"/>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3037</v>
      </c>
      <c r="E10" s="358" t="s">
        <v>1404</v>
      </c>
      <c r="F10" s="1366" t="s">
        <v>3084</v>
      </c>
      <c r="G10" s="1850"/>
      <c r="H10" s="1291" t="s">
        <v>1035</v>
      </c>
      <c r="I10" s="1822" t="s">
        <v>1403</v>
      </c>
      <c r="J10" s="346">
        <f ca="1">ROUND(IF(M10="押一",J6/12*M11,IF(M10="押二",J6/12*2*M11,IF(M10="押三",J6/12*3*M11,J11*M11))),0)</f>
        <v>0</v>
      </c>
      <c r="K10" s="1823" t="s">
        <v>3036</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43189</v>
      </c>
      <c r="D13" s="1331" t="s">
        <v>1409</v>
      </c>
      <c r="E13" s="1331" t="s">
        <v>1410</v>
      </c>
      <c r="F13" s="1332">
        <f ca="1">INDIRECT("'数据-取费表'!y"&amp;$G$1)</f>
        <v>0.87</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34903</v>
      </c>
      <c r="D14" s="1799" t="s">
        <v>1412</v>
      </c>
      <c r="E14" s="1793"/>
      <c r="F14" s="364"/>
      <c r="G14" s="1850"/>
      <c r="H14" s="1201" t="s">
        <v>1031</v>
      </c>
      <c r="I14" s="347" t="s">
        <v>1413</v>
      </c>
      <c r="J14" s="24">
        <f ca="1">C29</f>
        <v>49643</v>
      </c>
      <c r="K14" s="15"/>
      <c r="L14" s="979"/>
      <c r="M14" s="980"/>
    </row>
    <row r="15" spans="1:37" s="1857" customFormat="1" ht="18" customHeight="1" thickBot="1">
      <c r="A15" s="1201" t="s">
        <v>1032</v>
      </c>
      <c r="B15" s="347" t="s">
        <v>1414</v>
      </c>
      <c r="C15" s="24">
        <f ca="1">ROUND(C14*F15,0)</f>
        <v>1047</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932</v>
      </c>
      <c r="K16" s="1337" t="s">
        <v>1419</v>
      </c>
      <c r="L16" s="1338"/>
      <c r="M16" s="1294"/>
    </row>
    <row r="17" spans="1:37" s="1857" customFormat="1" ht="18" customHeight="1">
      <c r="A17" s="1201" t="s">
        <v>1384</v>
      </c>
      <c r="B17" s="347" t="s">
        <v>1420</v>
      </c>
      <c r="C17" s="24">
        <f ca="1">ROUND(F17*(F43+INDIRECT("'数据-取费表'!S"&amp;$G$1))/10000,0)</f>
        <v>1027</v>
      </c>
      <c r="D17" s="347" t="s">
        <v>1421</v>
      </c>
      <c r="E17" s="347" t="s">
        <v>1422</v>
      </c>
      <c r="F17" s="26">
        <f>'数据-取费表'!B35</f>
        <v>200</v>
      </c>
      <c r="G17" s="1853"/>
      <c r="H17" s="1201" t="s">
        <v>1031</v>
      </c>
      <c r="I17" s="347" t="s">
        <v>1423</v>
      </c>
      <c r="J17" s="24">
        <f ca="1">ROUND(IF(项目基本情况!B11="自然人",J6*M17/(1+'数据-取费表'!C42),J18+J19+J20),1)</f>
        <v>435.7</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524</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37501</v>
      </c>
      <c r="D19" s="140" t="s">
        <v>1430</v>
      </c>
      <c r="E19" s="1817"/>
      <c r="F19" s="26"/>
      <c r="G19" s="1850"/>
      <c r="H19" s="1201" t="s">
        <v>1032</v>
      </c>
      <c r="I19" s="347" t="s">
        <v>1431</v>
      </c>
      <c r="J19" s="24">
        <f ca="1">IF(K19="按租金收入计税",ROUND(J6*M19/(1+'数据-取费表'!C42),2),ROUND(C29*M19*0.7,2))</f>
        <v>417</v>
      </c>
      <c r="K19" s="1827" t="s">
        <v>1432</v>
      </c>
      <c r="L19" s="347" t="s">
        <v>1416</v>
      </c>
      <c r="M19" s="367">
        <f>IF(K19="按租金收入计税",'数据-取费表'!B51,'数据-取费表'!B50)</f>
        <v>1.2E-2</v>
      </c>
    </row>
    <row r="20" spans="1:37" s="1857" customFormat="1" ht="18" customHeight="1">
      <c r="A20" s="1201" t="s">
        <v>1035</v>
      </c>
      <c r="B20" s="347" t="s">
        <v>1433</v>
      </c>
      <c r="C20" s="24">
        <f ca="1">ROUND(C19*F20,0)</f>
        <v>750</v>
      </c>
      <c r="D20" s="369" t="s">
        <v>1434</v>
      </c>
      <c r="E20" s="347" t="s">
        <v>1416</v>
      </c>
      <c r="F20" s="367">
        <f>'数据-取费表'!B37</f>
        <v>0.02</v>
      </c>
      <c r="G20" s="1853"/>
      <c r="H20" s="1201" t="s">
        <v>1383</v>
      </c>
      <c r="I20" s="164" t="s">
        <v>1435</v>
      </c>
      <c r="J20" s="25">
        <f ca="1">ROUND(M20*M21/10000,2)</f>
        <v>18.670000000000002</v>
      </c>
      <c r="K20" s="370" t="s">
        <v>1436</v>
      </c>
      <c r="L20" s="347" t="s">
        <v>1437</v>
      </c>
      <c r="M20" s="371">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7779.45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496.4</v>
      </c>
      <c r="K22" s="1797" t="s">
        <v>1444</v>
      </c>
      <c r="L22" s="347" t="s">
        <v>1416</v>
      </c>
      <c r="M22" s="374">
        <f ca="1">INDIRECT("'数据-取费表'!Ak"&amp;$G$1)</f>
        <v>0.01</v>
      </c>
    </row>
    <row r="23" spans="1:37" s="1857" customFormat="1" ht="18" customHeight="1">
      <c r="A23" s="1201" t="s">
        <v>1030</v>
      </c>
      <c r="B23" s="347" t="s">
        <v>1445</v>
      </c>
      <c r="C23" s="24">
        <f ca="1">IF('数据-取费表'!B22&lt;=1,ROUND(C19*F24*F23/2,0)+ROUND(C20*F24*F23/2,0),ROUND(C19*(POWER((1+F24),F23/2)-1),0)+ROUND(C20*(POWER((1+F24),F23/2)-1),0))</f>
        <v>1817</v>
      </c>
      <c r="D23" s="375" t="str">
        <f>IF(F23&lt;=1,"(建造成本+管理费用)×利率×(建设周期÷2)","(建造成本+管理费用)×((1+利率)^(建设周期÷2)-1)")</f>
        <v>(建造成本+管理费用)×((1+利率)^(建设周期÷2)-1)</v>
      </c>
      <c r="E23" s="347" t="s">
        <v>1446</v>
      </c>
      <c r="F23" s="371">
        <f>'数据-取费表'!B20</f>
        <v>2</v>
      </c>
      <c r="G23" s="1853"/>
      <c r="H23" s="1201" t="s">
        <v>1071</v>
      </c>
      <c r="I23" s="347" t="s">
        <v>1447</v>
      </c>
      <c r="J23" s="24">
        <f ca="1">ROUND(J13*M23,1)</f>
        <v>0</v>
      </c>
      <c r="K23" s="1797"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ROUND(J5*M24,1)</f>
        <v>0</v>
      </c>
      <c r="K24" s="1342" t="s">
        <v>1453</v>
      </c>
      <c r="L24" s="1340" t="s">
        <v>1449</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9" t="s">
        <v>1027</v>
      </c>
      <c r="I25" s="1344" t="s">
        <v>1457</v>
      </c>
      <c r="J25" s="355">
        <f ca="1">J5-J16</f>
        <v>-932</v>
      </c>
      <c r="K25" s="1345" t="s">
        <v>1458</v>
      </c>
      <c r="L25" s="1346"/>
      <c r="M25" s="1347"/>
    </row>
    <row r="26" spans="1:37">
      <c r="A26" s="1201" t="s">
        <v>1030</v>
      </c>
      <c r="B26" s="347" t="s">
        <v>1459</v>
      </c>
      <c r="C26" s="24">
        <f ca="1">ROUND((C19+C20)*F26,0)</f>
        <v>5738</v>
      </c>
      <c r="D26" s="369" t="s">
        <v>1460</v>
      </c>
      <c r="E26" s="358" t="s">
        <v>1461</v>
      </c>
      <c r="F26" s="2977">
        <f ca="1">INDIRECT("'数据-取费表'!q"&amp;$G$1)</f>
        <v>0.15</v>
      </c>
      <c r="G26" s="1850"/>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3.0000000000000001E-3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49643</v>
      </c>
      <c r="D29" s="1342"/>
      <c r="E29" s="1340"/>
      <c r="F29" s="1343"/>
      <c r="G29" s="1853"/>
      <c r="H29" s="380" t="s">
        <v>1029</v>
      </c>
      <c r="I29" s="381" t="s">
        <v>1473</v>
      </c>
      <c r="J29" s="382">
        <f ca="1">ROUND(J26/(1+F40)^F41,0)</f>
        <v>0</v>
      </c>
      <c r="K29" s="383" t="s">
        <v>1474</v>
      </c>
      <c r="L29" s="384"/>
      <c r="M29" s="385">
        <f ca="1">INDIRECT("'数据-取费表'!k"&amp;$G$1)</f>
        <v>51328.59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1600</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ROUND(IF(项目基本情况!B11="自然人",C6*F31/(1+'数据-取费表'!C42),C32+C33+C34),1)</f>
        <v>874.5</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438.83</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417</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1" t="s">
        <v>1383</v>
      </c>
      <c r="B34" s="164" t="s">
        <v>1435</v>
      </c>
      <c r="C34" s="25">
        <f ca="1">IF(项目基本情况!B11="自然人","——",ROUND(F34*F35/10000,2))</f>
        <v>18.670000000000002</v>
      </c>
      <c r="D34" s="370" t="s">
        <v>1436</v>
      </c>
      <c r="E34" s="347" t="s">
        <v>1437</v>
      </c>
      <c r="F34" s="371">
        <f>'数据-取费表'!B52</f>
        <v>24</v>
      </c>
      <c r="G34" s="1850"/>
      <c r="H34" s="745"/>
      <c r="I34" s="1859"/>
      <c r="J34" s="1860"/>
      <c r="K34" s="1862"/>
      <c r="L34" s="1863"/>
      <c r="M34" s="1863"/>
    </row>
    <row r="35" spans="1:18" ht="18" customHeight="1">
      <c r="A35" s="1353"/>
      <c r="B35" s="1351"/>
      <c r="C35" s="29"/>
      <c r="D35" s="373"/>
      <c r="E35" s="347" t="s">
        <v>1441</v>
      </c>
      <c r="F35" s="348">
        <f ca="1">INDIRECT("'数据-取费表'!r"&amp;$G$1)</f>
        <v>7779.45</v>
      </c>
      <c r="G35" s="1850"/>
      <c r="H35" s="745"/>
      <c r="I35" s="1859"/>
      <c r="J35" s="1860"/>
      <c r="K35" s="1861"/>
      <c r="L35" s="1858"/>
      <c r="M35" s="1858"/>
    </row>
    <row r="36" spans="1:18" ht="18" customHeight="1">
      <c r="A36" s="1352" t="s">
        <v>1035</v>
      </c>
      <c r="B36" s="347" t="s">
        <v>1443</v>
      </c>
      <c r="C36" s="24">
        <f ca="1">ROUND(C29*F36,1)</f>
        <v>496.4</v>
      </c>
      <c r="D36" s="1797" t="s">
        <v>1476</v>
      </c>
      <c r="E36" s="347" t="s">
        <v>1416</v>
      </c>
      <c r="F36" s="2978">
        <f ca="1">INDIRECT("'数据-取费表'!Ak"&amp;$G$1)</f>
        <v>0.01</v>
      </c>
      <c r="G36" s="1850"/>
      <c r="H36" s="1858"/>
      <c r="I36" s="1859"/>
      <c r="J36" s="1860"/>
      <c r="K36" s="751"/>
      <c r="L36" s="1858"/>
      <c r="M36" s="1858"/>
    </row>
    <row r="37" spans="1:18" ht="18" customHeight="1">
      <c r="A37" s="1201" t="s">
        <v>1071</v>
      </c>
      <c r="B37" s="347" t="s">
        <v>1447</v>
      </c>
      <c r="C37" s="24">
        <f ca="1">ROUND(C13*F37,1)</f>
        <v>64.8</v>
      </c>
      <c r="D37" s="1797" t="s">
        <v>1448</v>
      </c>
      <c r="E37" s="347" t="s">
        <v>1449</v>
      </c>
      <c r="F37" s="376">
        <f ca="1">INDIRECT("'数据-取费表'!Al"&amp;$G$1)</f>
        <v>1.5E-3</v>
      </c>
      <c r="G37" s="1850"/>
      <c r="H37" s="1858"/>
      <c r="I37" s="1859"/>
      <c r="J37" s="1860"/>
      <c r="K37" s="751"/>
      <c r="L37" s="1858"/>
      <c r="M37" s="1858"/>
    </row>
    <row r="38" spans="1:18" ht="18" customHeight="1" thickBot="1">
      <c r="A38" s="1339" t="s">
        <v>1387</v>
      </c>
      <c r="B38" s="1340" t="s">
        <v>1433</v>
      </c>
      <c r="C38" s="1341">
        <f ca="1">ROUND(C5*F38,1)</f>
        <v>164.6</v>
      </c>
      <c r="D38" s="1342" t="s">
        <v>1453</v>
      </c>
      <c r="E38" s="1340" t="s">
        <v>1449</v>
      </c>
      <c r="F38" s="1336">
        <f ca="1">INDIRECT("'数据-取费表'!Am"&amp;$G$1)</f>
        <v>0.02</v>
      </c>
      <c r="G38" s="1850"/>
      <c r="H38" s="1858"/>
      <c r="I38" s="1859"/>
      <c r="J38" s="1860"/>
      <c r="K38" s="1864"/>
      <c r="L38" s="1858"/>
      <c r="M38" s="1858"/>
    </row>
    <row r="39" spans="1:18" ht="24.6" customHeight="1" thickTop="1">
      <c r="A39" s="1329" t="s">
        <v>1027</v>
      </c>
      <c r="B39" s="1344" t="s">
        <v>1477</v>
      </c>
      <c r="C39" s="355">
        <f ca="1">C5-C30</f>
        <v>6628</v>
      </c>
      <c r="D39" s="1345" t="s">
        <v>1478</v>
      </c>
      <c r="E39" s="1346"/>
      <c r="F39" s="1347"/>
      <c r="G39" s="1850"/>
      <c r="H39" s="1858"/>
      <c r="I39" s="1859"/>
      <c r="J39" s="1860"/>
      <c r="K39" s="1864"/>
      <c r="L39" s="1858"/>
      <c r="M39" s="1858"/>
    </row>
    <row r="40" spans="1:18" ht="18" customHeight="1">
      <c r="A40" s="344" t="s">
        <v>1028</v>
      </c>
      <c r="B40" s="345" t="s">
        <v>1479</v>
      </c>
      <c r="C40" s="346">
        <f ca="1">ROUND(C39*(1-((1+F42)/(1+F40))^F41)/(F40-F42),0)</f>
        <v>113733</v>
      </c>
      <c r="D40" s="370" t="s">
        <v>1463</v>
      </c>
      <c r="E40" s="347" t="s">
        <v>1464</v>
      </c>
      <c r="F40" s="2977">
        <f ca="1">INDIRECT("'数据-取费表'!I"&amp;$G$1)</f>
        <v>5.5E-2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30</v>
      </c>
      <c r="G41" s="1850"/>
      <c r="H41" s="732"/>
      <c r="I41" s="1859"/>
      <c r="J41" s="1860"/>
      <c r="K41" s="751"/>
      <c r="L41" s="732"/>
      <c r="M41" s="732"/>
    </row>
    <row r="42" spans="1:18" ht="18" customHeight="1">
      <c r="A42" s="353"/>
      <c r="B42" s="354"/>
      <c r="C42" s="355"/>
      <c r="D42" s="373"/>
      <c r="E42" s="347" t="s">
        <v>1471</v>
      </c>
      <c r="F42" s="357">
        <f ca="1">INDIRECT("'数据-取费表'!v"&amp;$G$1)</f>
        <v>1.4999999999999999E-2</v>
      </c>
      <c r="G42" s="1850"/>
      <c r="H42" s="732"/>
      <c r="I42" s="1859"/>
      <c r="J42" s="1860"/>
      <c r="K42" s="751"/>
      <c r="L42" s="732"/>
      <c r="M42" s="732"/>
    </row>
    <row r="43" spans="1:18" ht="18" customHeight="1" thickBot="1">
      <c r="A43" s="380" t="s">
        <v>1029</v>
      </c>
      <c r="B43" s="381" t="s">
        <v>1481</v>
      </c>
      <c r="C43" s="382">
        <f ca="1">ROUND(C40*10000/F43,0)</f>
        <v>22158</v>
      </c>
      <c r="D43" s="383" t="s">
        <v>1482</v>
      </c>
      <c r="E43" s="384" t="s">
        <v>1483</v>
      </c>
      <c r="F43" s="385">
        <f ca="1">INDIRECT("'数据-取费表'!k"&amp;$G$1)</f>
        <v>51328.59</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-128223</v>
      </c>
      <c r="D46" s="1871" t="str">
        <f>C2</f>
        <v>万元</v>
      </c>
      <c r="E46" s="1865"/>
      <c r="F46" s="1865"/>
      <c r="I46" s="1872" t="s">
        <v>1515</v>
      </c>
      <c r="J46" s="1873"/>
      <c r="K46" s="1874"/>
      <c r="L46" s="1875">
        <f ca="1">IF(M47="住宅",0,IF(L48&gt;J51,L60,J60))</f>
        <v>1718</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3085</v>
      </c>
      <c r="K47" s="1881" t="s">
        <v>1521</v>
      </c>
      <c r="L47" s="1882">
        <f ca="1">INDIRECT("'数据-取费表'!d"&amp;$G$1)</f>
        <v>40</v>
      </c>
      <c r="M47" s="1837" t="str">
        <f>IF(ISNUMBER(FIND("住宅",C1)),"住宅","非住宅")</f>
        <v>非住宅</v>
      </c>
      <c r="O47" s="1883" t="s">
        <v>1036</v>
      </c>
      <c r="P47" s="1884" t="s">
        <v>1522</v>
      </c>
      <c r="Q47" s="1885">
        <f ca="1">C40+J29</f>
        <v>113733</v>
      </c>
      <c r="R47" s="1885" t="s">
        <v>1523</v>
      </c>
    </row>
    <row r="48" spans="1:18" s="1841" customFormat="1" ht="28.5" thickBot="1">
      <c r="A48" s="1360" t="s">
        <v>1131</v>
      </c>
      <c r="B48" s="345" t="s">
        <v>1395</v>
      </c>
      <c r="C48" s="1816">
        <f ca="1">C49+C53+C55</f>
        <v>0</v>
      </c>
      <c r="D48" s="1362"/>
      <c r="E48" s="1363"/>
      <c r="F48" s="1181"/>
      <c r="G48" s="792"/>
      <c r="H48" s="793"/>
      <c r="I48" s="1886" t="s">
        <v>1524</v>
      </c>
      <c r="J48" s="1887" t="s">
        <v>3086</v>
      </c>
      <c r="K48" s="1888" t="s">
        <v>1525</v>
      </c>
      <c r="L48" s="1889">
        <f ca="1">INDIRECT("'数据-取费表'!f"&amp;$G$1)</f>
        <v>30</v>
      </c>
      <c r="O48" s="1883" t="s">
        <v>1037</v>
      </c>
      <c r="P48" s="1884" t="s">
        <v>1526</v>
      </c>
      <c r="Q48" s="1885">
        <f ca="1">J60</f>
        <v>1718</v>
      </c>
      <c r="R48" s="1885" t="s">
        <v>1527</v>
      </c>
    </row>
    <row r="49" spans="1:18" s="1841" customFormat="1" ht="13.5" thickBot="1">
      <c r="A49" s="1194" t="s">
        <v>1132</v>
      </c>
      <c r="B49" s="1828" t="s">
        <v>1484</v>
      </c>
      <c r="C49" s="1364">
        <f ca="1">ROUND(F49*F51*F50*(1-F52)/10000,0)</f>
        <v>0</v>
      </c>
      <c r="D49" s="1276" t="s">
        <v>3029</v>
      </c>
      <c r="E49" s="1829" t="s">
        <v>1485</v>
      </c>
      <c r="F49" s="1281"/>
      <c r="G49" s="1890"/>
      <c r="H49" s="793"/>
      <c r="I49" s="1886" t="s">
        <v>1528</v>
      </c>
      <c r="J49" s="1891">
        <v>2012</v>
      </c>
      <c r="K49" s="1888" t="s">
        <v>1529</v>
      </c>
      <c r="L49" s="1892"/>
      <c r="O49" s="1893" t="s">
        <v>1038</v>
      </c>
      <c r="P49" s="1884" t="s">
        <v>1530</v>
      </c>
      <c r="Q49" s="1885">
        <f ca="1">C29</f>
        <v>49643</v>
      </c>
      <c r="R49" s="1885" t="s">
        <v>1523</v>
      </c>
    </row>
    <row r="50" spans="1:18" s="1841" customFormat="1" ht="13.5" thickBot="1">
      <c r="A50" s="1195"/>
      <c r="B50" s="1198"/>
      <c r="C50" s="1368"/>
      <c r="D50" s="1172"/>
      <c r="E50" s="1277" t="s">
        <v>1400</v>
      </c>
      <c r="F50" s="1278">
        <f ca="1">F7</f>
        <v>1</v>
      </c>
      <c r="H50" s="793"/>
      <c r="I50" s="1886" t="s">
        <v>1531</v>
      </c>
      <c r="J50" s="1894">
        <f>SUMPRODUCT((I63:I65=J47)*(J62:L62=J48)*(J63:L65))</f>
        <v>60</v>
      </c>
      <c r="K50" s="1888" t="s">
        <v>1532</v>
      </c>
      <c r="L50" s="1892"/>
      <c r="M50" s="1895"/>
      <c r="O50" s="1893" t="s">
        <v>1039</v>
      </c>
      <c r="P50" s="1884" t="s">
        <v>1533</v>
      </c>
      <c r="Q50" s="1896">
        <f ca="1">J58</f>
        <v>0.4</v>
      </c>
      <c r="R50" s="1885"/>
    </row>
    <row r="51" spans="1:18" s="1841" customFormat="1" ht="13.5" thickBot="1">
      <c r="A51" s="1196"/>
      <c r="B51" s="1198"/>
      <c r="C51" s="1199"/>
      <c r="D51" s="1172"/>
      <c r="E51" s="1200" t="s">
        <v>1401</v>
      </c>
      <c r="F51" s="348">
        <f ca="1">F8</f>
        <v>1</v>
      </c>
      <c r="I51" s="1897" t="s">
        <v>1534</v>
      </c>
      <c r="J51" s="1898">
        <f>IF(J49="",J50,J49+J50-YEAR('数据-取费表'!B2))</f>
        <v>52</v>
      </c>
      <c r="K51" s="1899" t="s">
        <v>1535</v>
      </c>
      <c r="L51" s="1900">
        <f ca="1">ROUND(-PV(INDIRECT("'数据-取费表'!h"&amp;$G$1),L48,(C39-C13*C76),0),0)</f>
        <v>46114</v>
      </c>
      <c r="M51" s="1901"/>
      <c r="O51" s="1893" t="s">
        <v>1040</v>
      </c>
      <c r="P51" s="1884" t="s">
        <v>1536</v>
      </c>
      <c r="Q51" s="1896">
        <f>J52</f>
        <v>8.5000000000000006E-2</v>
      </c>
      <c r="R51" s="1885"/>
    </row>
    <row r="52" spans="1:18" s="1841" customFormat="1" ht="13.5" thickBot="1">
      <c r="A52" s="1196"/>
      <c r="B52" s="1198"/>
      <c r="C52" s="1199"/>
      <c r="D52" s="1172"/>
      <c r="E52" s="1200" t="s">
        <v>1402</v>
      </c>
      <c r="F52" s="1275"/>
      <c r="I52" s="1902" t="s">
        <v>1537</v>
      </c>
      <c r="J52" s="1903">
        <v>8.5000000000000006E-2</v>
      </c>
      <c r="K52" s="1902" t="s">
        <v>1538</v>
      </c>
      <c r="L52" s="1903"/>
      <c r="O52" s="1893" t="s">
        <v>1041</v>
      </c>
      <c r="P52" s="1884" t="s">
        <v>1539</v>
      </c>
      <c r="Q52" s="1885">
        <f ca="1">J53</f>
        <v>30</v>
      </c>
      <c r="R52" s="1885" t="s">
        <v>1540</v>
      </c>
    </row>
    <row r="53" spans="1:18" s="1841" customFormat="1" ht="24.75" thickBot="1">
      <c r="A53" s="1405" t="s">
        <v>1133</v>
      </c>
      <c r="B53" s="1830" t="s">
        <v>1403</v>
      </c>
      <c r="C53" s="361">
        <f ca="1">ROUND(IF(F53="押一",C49/12*F11,IF(F53="押二",C49/12*2*F11,IF(F53="押三",C49/12*3*F11,C54*F11))),0)</f>
        <v>0</v>
      </c>
      <c r="D53" s="1823" t="s">
        <v>3036</v>
      </c>
      <c r="E53" s="358" t="s">
        <v>1404</v>
      </c>
      <c r="F53" s="1366"/>
      <c r="I53" s="1904" t="s">
        <v>1541</v>
      </c>
      <c r="J53" s="2946">
        <f ca="1">IF(M47="住宅",IF(D1="——",MAX(J51,L48),MAX(J51,L48-'数据-取费表'!B24)),IF(D1="——",MIN(J51,L48),MIN(J51,L48-'数据-取费表'!B24)))</f>
        <v>30</v>
      </c>
      <c r="K53" s="3193" t="s">
        <v>1542</v>
      </c>
      <c r="L53" s="3194"/>
      <c r="O53" s="1883" t="s">
        <v>1042</v>
      </c>
      <c r="P53" s="1884" t="s">
        <v>1543</v>
      </c>
      <c r="Q53" s="1885">
        <f ca="1">Q47+Q48</f>
        <v>115451</v>
      </c>
      <c r="R53" s="1885" t="s">
        <v>1043</v>
      </c>
    </row>
    <row r="54" spans="1:18" s="1841" customFormat="1" ht="13.5" thickBot="1">
      <c r="A54" s="1406"/>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1831"/>
      <c r="F55" s="1905"/>
      <c r="I55" s="1908" t="s">
        <v>1545</v>
      </c>
      <c r="J55" s="1909">
        <f ca="1">ROUND(IF(J47="钢混",J57/J50,1-(1-2%)*(J50-J57)/J50),3)</f>
        <v>0.36699999999999999</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43189</v>
      </c>
      <c r="D56" s="1912"/>
      <c r="E56" s="1913"/>
      <c r="F56" s="1905"/>
      <c r="I56" s="1914" t="s">
        <v>1548</v>
      </c>
      <c r="J56" s="1915" t="s">
        <v>3087</v>
      </c>
      <c r="K56" s="1886" t="s">
        <v>1549</v>
      </c>
      <c r="L56" s="1889" t="str">
        <f ca="1">IF(L48&lt;J51,"——",L48-J53)</f>
        <v>——</v>
      </c>
      <c r="O56" s="1883" t="s">
        <v>1036</v>
      </c>
      <c r="P56" s="1884" t="s">
        <v>1522</v>
      </c>
      <c r="Q56" s="1885">
        <f ca="1">C40+J29</f>
        <v>113733</v>
      </c>
      <c r="R56" s="1885" t="s">
        <v>1523</v>
      </c>
    </row>
    <row r="57" spans="1:18" s="1841" customFormat="1" ht="24.75" thickBot="1">
      <c r="A57" s="1916"/>
      <c r="B57" s="1169" t="s">
        <v>1472</v>
      </c>
      <c r="C57" s="282">
        <f ca="1">C29</f>
        <v>49643</v>
      </c>
      <c r="D57" s="1917"/>
      <c r="E57" s="1918"/>
      <c r="F57" s="1919"/>
      <c r="I57" s="1920" t="s">
        <v>1550</v>
      </c>
      <c r="J57" s="1921">
        <f ca="1">IF(OR(M47="住宅",J51&lt;L48,J56="是"),"——",J51-L48)</f>
        <v>22</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7" t="s">
        <v>1418</v>
      </c>
      <c r="C58" s="361">
        <f ca="1">ROUND(C59+C64+C65+C66,0)</f>
        <v>997</v>
      </c>
      <c r="D58" s="1179" t="s">
        <v>1419</v>
      </c>
      <c r="E58" s="1180"/>
      <c r="F58" s="1181"/>
      <c r="I58" s="1920" t="s">
        <v>1554</v>
      </c>
      <c r="J58" s="1922">
        <f ca="1">IF(J55&lt;0.4,0.4,J55)</f>
        <v>0.4</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435.7</v>
      </c>
      <c r="D59" s="1182" t="s">
        <v>1424</v>
      </c>
      <c r="E59" s="1183" t="s">
        <v>1425</v>
      </c>
      <c r="F59" s="368" t="str">
        <f ca="1">IF(项目基本情况!B11="企业","",IF(INDIRECT("'数据-取费表'!c"&amp;$G$1)="住宅",5%,IF(F49*F50*F51/12/(1+'数据-取费表'!C42)&gt;20000,12%,7%)))</f>
        <v/>
      </c>
      <c r="I59" s="1920" t="s">
        <v>1557</v>
      </c>
      <c r="J59" s="1921">
        <f ca="1">IF(OR(M47="住宅",J51&lt;L48,J56="是"),"——",ROUND(C29*J58,0))</f>
        <v>19857</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3" t="s">
        <v>1559</v>
      </c>
      <c r="J60" s="1924">
        <f ca="1">IF(OR(M47="住宅",J51&lt;L48,J56="是"),"0",ROUND(J59/(1+J52)^J53,0))</f>
        <v>1718</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IF(项目基本情况!B11="自然人","——",IF(D61="按租金收入计税",ROUND(C48*F61,2),IF(D61="按房产原值计税",ROUND(C57*F61*0.7,2),INDIRECT("'数据-取费表'!Aj"&amp;$G$1))))</f>
        <v>417</v>
      </c>
      <c r="D61" s="1827" t="s">
        <v>1432</v>
      </c>
      <c r="E61" s="1169" t="s">
        <v>1488</v>
      </c>
      <c r="F61" s="367">
        <f t="shared" si="0"/>
        <v>1.2E-2</v>
      </c>
      <c r="I61" s="1926"/>
      <c r="J61" s="1926"/>
      <c r="K61" s="1926"/>
      <c r="L61" s="1926"/>
      <c r="O61" s="1893" t="s">
        <v>1041</v>
      </c>
      <c r="P61" s="1884" t="str">
        <f>K59</f>
        <v>建筑物剩余耐用年限下的土地年期修正系数Kn</v>
      </c>
      <c r="Q61" s="1885" t="e">
        <f ca="1">L59</f>
        <v>#DIV/0!</v>
      </c>
      <c r="R61" s="1885" t="s">
        <v>1563</v>
      </c>
    </row>
    <row r="62" spans="1:18" s="1841" customFormat="1" ht="13.5" thickBot="1">
      <c r="A62" s="1201" t="s">
        <v>1489</v>
      </c>
      <c r="B62" s="1168" t="s">
        <v>1490</v>
      </c>
      <c r="C62" s="25">
        <f ca="1">IF(项目基本情况!B11="自然人","——",ROUND(F62*F63/10000,2))</f>
        <v>18.670000000000002</v>
      </c>
      <c r="D62" s="1184" t="s">
        <v>1491</v>
      </c>
      <c r="E62" s="1169" t="s">
        <v>1492</v>
      </c>
      <c r="F62" s="371">
        <f t="shared" si="0"/>
        <v>24</v>
      </c>
      <c r="I62" s="1927" t="s">
        <v>1564</v>
      </c>
      <c r="J62" s="1928" t="s">
        <v>1565</v>
      </c>
      <c r="K62" s="1928" t="s">
        <v>1566</v>
      </c>
      <c r="L62" s="1928" t="s">
        <v>1567</v>
      </c>
      <c r="M62" s="1929" t="s">
        <v>1568</v>
      </c>
      <c r="O62" s="1883" t="s">
        <v>1042</v>
      </c>
      <c r="P62" s="1884" t="s">
        <v>1569</v>
      </c>
      <c r="Q62" s="1885">
        <f ca="1">Q56+Q57</f>
        <v>113733</v>
      </c>
      <c r="R62" s="1885" t="s">
        <v>1043</v>
      </c>
    </row>
    <row r="63" spans="1:18" s="1841" customFormat="1" ht="13.5" thickBot="1">
      <c r="A63" s="372"/>
      <c r="B63" s="1175"/>
      <c r="C63" s="29"/>
      <c r="D63" s="1185"/>
      <c r="E63" s="1169" t="s">
        <v>1493</v>
      </c>
      <c r="F63" s="348">
        <f t="shared" ca="1" si="0"/>
        <v>7779.45</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ROUND(C57*F64,1)</f>
        <v>496.4</v>
      </c>
      <c r="D64" s="1183" t="s">
        <v>1496</v>
      </c>
      <c r="E64" s="1169" t="s">
        <v>1488</v>
      </c>
      <c r="F64" s="374">
        <f t="shared" ca="1" si="0"/>
        <v>0.01</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64.8</v>
      </c>
      <c r="D65" s="1183" t="s">
        <v>1448</v>
      </c>
      <c r="E65" s="1169" t="s">
        <v>1449</v>
      </c>
      <c r="F65" s="376">
        <f t="shared" ca="1" si="0"/>
        <v>1.5E-3</v>
      </c>
      <c r="I65" s="1927" t="s">
        <v>1573</v>
      </c>
      <c r="J65" s="1928">
        <v>40</v>
      </c>
      <c r="K65" s="1928">
        <v>30</v>
      </c>
      <c r="L65" s="1928">
        <v>50</v>
      </c>
      <c r="M65" s="1930">
        <v>0.02</v>
      </c>
      <c r="O65" s="1883" t="s">
        <v>1036</v>
      </c>
      <c r="P65" s="1884" t="s">
        <v>1574</v>
      </c>
      <c r="Q65" s="1885">
        <f ca="1">C40+J29</f>
        <v>113733</v>
      </c>
      <c r="R65" s="1885" t="s">
        <v>1523</v>
      </c>
    </row>
    <row r="66" spans="1:18" s="1841" customFormat="1" ht="16.5" thickBot="1">
      <c r="A66" s="1201" t="s">
        <v>1498</v>
      </c>
      <c r="B66" s="1169" t="s">
        <v>1433</v>
      </c>
      <c r="C66" s="24">
        <f ca="1">ROUND(C48*F66,1)</f>
        <v>0</v>
      </c>
      <c r="D66" s="1183" t="s">
        <v>1499</v>
      </c>
      <c r="E66" s="1169" t="s">
        <v>1416</v>
      </c>
      <c r="F66" s="357">
        <f t="shared" ca="1" si="0"/>
        <v>0.02</v>
      </c>
      <c r="O66" s="1883" t="s">
        <v>1037</v>
      </c>
      <c r="P66" s="1884" t="s">
        <v>1552</v>
      </c>
      <c r="Q66" s="1885">
        <f ca="1">L60</f>
        <v>0</v>
      </c>
      <c r="R66" s="1885" t="s">
        <v>1575</v>
      </c>
    </row>
    <row r="67" spans="1:18" s="1841" customFormat="1" ht="16.5" thickBot="1">
      <c r="A67" s="1176" t="s">
        <v>1027</v>
      </c>
      <c r="B67" s="1186" t="s">
        <v>1457</v>
      </c>
      <c r="C67" s="361">
        <f ca="1">C48-C58</f>
        <v>-997</v>
      </c>
      <c r="D67" s="1182" t="s">
        <v>1458</v>
      </c>
      <c r="E67" s="1187"/>
      <c r="F67" s="1188"/>
      <c r="O67" s="1893" t="s">
        <v>1038</v>
      </c>
      <c r="P67" s="1884" t="s">
        <v>1556</v>
      </c>
      <c r="Q67" s="1931">
        <f ca="1">L51</f>
        <v>46114</v>
      </c>
      <c r="R67" s="1885" t="s">
        <v>1576</v>
      </c>
    </row>
    <row r="68" spans="1:18" s="1841" customFormat="1" ht="16.5" thickBot="1">
      <c r="A68" s="1166" t="s">
        <v>1028</v>
      </c>
      <c r="B68" s="1167" t="s">
        <v>1479</v>
      </c>
      <c r="C68" s="346">
        <f ca="1">ROUND(C67*(1-((1+F70)/(1+F68))^F69)/(F68-F70),0)</f>
        <v>-14490</v>
      </c>
      <c r="D68" s="1184" t="s">
        <v>1463</v>
      </c>
      <c r="E68" s="1169" t="s">
        <v>1464</v>
      </c>
      <c r="F68" s="357">
        <f ca="1">F40</f>
        <v>5.5E-2</v>
      </c>
      <c r="O68" s="1893" t="s">
        <v>1039</v>
      </c>
      <c r="P68" s="1932" t="s">
        <v>1577</v>
      </c>
      <c r="Q68" s="1885">
        <f ca="1">ROUND(Q69-Q70*Q71,0)</f>
        <v>3173</v>
      </c>
      <c r="R68" s="1885" t="s">
        <v>1047</v>
      </c>
    </row>
    <row r="69" spans="1:18" s="1841" customFormat="1" ht="13.5" thickBot="1">
      <c r="A69" s="1170"/>
      <c r="B69" s="1171"/>
      <c r="C69" s="351"/>
      <c r="D69" s="1189" t="s">
        <v>1467</v>
      </c>
      <c r="E69" s="1169" t="s">
        <v>1468</v>
      </c>
      <c r="F69" s="379">
        <f ca="1">F41</f>
        <v>30</v>
      </c>
      <c r="O69" s="1893" t="s">
        <v>1044</v>
      </c>
      <c r="P69" s="1932" t="s">
        <v>1578</v>
      </c>
      <c r="Q69" s="1885">
        <f ca="1">C39</f>
        <v>6628</v>
      </c>
      <c r="R69" s="1885" t="s">
        <v>1523</v>
      </c>
    </row>
    <row r="70" spans="1:18" s="1841" customFormat="1" ht="13.5" thickBot="1">
      <c r="A70" s="1173"/>
      <c r="B70" s="1174"/>
      <c r="C70" s="355"/>
      <c r="D70" s="1185"/>
      <c r="E70" s="1169" t="s">
        <v>1471</v>
      </c>
      <c r="F70" s="1275"/>
      <c r="O70" s="1893" t="s">
        <v>1045</v>
      </c>
      <c r="P70" s="1932" t="s">
        <v>1579</v>
      </c>
      <c r="Q70" s="1885">
        <f ca="1">C13</f>
        <v>43189</v>
      </c>
      <c r="R70" s="1885" t="s">
        <v>1523</v>
      </c>
    </row>
    <row r="71" spans="1:18" s="1841" customFormat="1" ht="13.5" thickBot="1">
      <c r="A71" s="1190" t="s">
        <v>1029</v>
      </c>
      <c r="B71" s="1191" t="s">
        <v>1481</v>
      </c>
      <c r="C71" s="382">
        <f ca="1">ROUND(C68*10000/F71,0)</f>
        <v>-2823</v>
      </c>
      <c r="D71" s="1192" t="s">
        <v>1482</v>
      </c>
      <c r="E71" s="1193" t="s">
        <v>1483</v>
      </c>
      <c r="F71" s="385">
        <f ca="1">F43</f>
        <v>51328.59</v>
      </c>
      <c r="O71" s="1893" t="s">
        <v>1046</v>
      </c>
      <c r="P71" s="1932" t="s">
        <v>1580</v>
      </c>
      <c r="Q71" s="1896">
        <f ca="1">C76</f>
        <v>0.08</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建筑物剩余耐用年限下的土地年期修正系数Kn</v>
      </c>
      <c r="Q74" s="1885" t="e">
        <f ca="1">L59</f>
        <v>#DIV/0!</v>
      </c>
      <c r="R74" s="1885" t="s">
        <v>1563</v>
      </c>
    </row>
    <row r="75" spans="1:18" ht="13.5" thickBot="1">
      <c r="A75" s="1841"/>
      <c r="B75" s="386" t="s">
        <v>1500</v>
      </c>
      <c r="C75" s="387">
        <f ca="1">ROUND(C13*C76,0)</f>
        <v>3455</v>
      </c>
      <c r="D75" s="1841"/>
      <c r="E75" s="1841"/>
      <c r="F75" s="1841"/>
      <c r="K75" s="1867"/>
      <c r="L75" s="1841"/>
      <c r="O75" s="1883" t="s">
        <v>1042</v>
      </c>
      <c r="P75" s="1884" t="s">
        <v>1543</v>
      </c>
      <c r="Q75" s="1885">
        <f ca="1">Q65+Q66</f>
        <v>113733</v>
      </c>
      <c r="R75" s="1885" t="s">
        <v>1043</v>
      </c>
    </row>
    <row r="76" spans="1:18">
      <c r="B76" s="388" t="s">
        <v>1501</v>
      </c>
      <c r="C76" s="389">
        <f ca="1">INDIRECT("'数据-取费表'!j"&amp;$G$1)</f>
        <v>0.08</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0.47899999999999998</v>
      </c>
    </row>
    <row r="80" spans="1:18">
      <c r="B80" s="386" t="s">
        <v>1505</v>
      </c>
      <c r="C80" s="318">
        <f ca="1">ROUND(C75/C39,3)</f>
        <v>0.52100000000000002</v>
      </c>
    </row>
    <row r="81" spans="2:3">
      <c r="B81" s="314" t="s">
        <v>1506</v>
      </c>
      <c r="C81" s="282"/>
    </row>
    <row r="82" spans="2:3">
      <c r="B82" s="317" t="s">
        <v>1507</v>
      </c>
      <c r="C82" s="319">
        <f ca="1">1-C83</f>
        <v>0.62</v>
      </c>
    </row>
    <row r="83" spans="2:3">
      <c r="B83" s="317" t="s">
        <v>1508</v>
      </c>
      <c r="C83" s="318">
        <f ca="1">ROUND(C13/C40,3)</f>
        <v>0.38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c r="D1" s="1819"/>
      <c r="E1" s="1820" t="s">
        <v>1381</v>
      </c>
      <c r="F1" s="1283">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2">
        <f ca="1">C6+C10+C12</f>
        <v>0</v>
      </c>
      <c r="D5" s="1821" t="s">
        <v>1595</v>
      </c>
      <c r="E5" s="1293"/>
      <c r="F5" s="1294"/>
      <c r="G5" s="1850"/>
      <c r="H5" s="344">
        <v>1</v>
      </c>
      <c r="I5" s="345" t="s">
        <v>1594</v>
      </c>
      <c r="J5" s="1292">
        <f ca="1">J6+J10+J12</f>
        <v>0</v>
      </c>
      <c r="K5" s="1821" t="s">
        <v>1595</v>
      </c>
      <c r="L5" s="1293"/>
      <c r="M5" s="1294"/>
    </row>
    <row r="6" spans="1:37" ht="18" customHeight="1">
      <c r="A6" s="1291" t="s">
        <v>1031</v>
      </c>
      <c r="B6" s="3195" t="s">
        <v>1397</v>
      </c>
      <c r="C6" s="1296">
        <f ca="1">ROUND(F6*F8*F7*(1-F9),0)</f>
        <v>0</v>
      </c>
      <c r="D6" s="164" t="s">
        <v>3025</v>
      </c>
      <c r="E6" s="347" t="s">
        <v>1399</v>
      </c>
      <c r="F6" s="348">
        <f ca="1">INDIRECT("'数据-取费表'!u"&amp;$G$1)</f>
        <v>0</v>
      </c>
      <c r="G6" s="1850"/>
      <c r="H6" s="1291" t="s">
        <v>1031</v>
      </c>
      <c r="I6" s="3195" t="s">
        <v>1397</v>
      </c>
      <c r="J6" s="346">
        <f ca="1">ROUND(M6*M8*M7*(1-M9),0)</f>
        <v>0</v>
      </c>
      <c r="K6" s="1833" t="s">
        <v>3026</v>
      </c>
      <c r="L6" s="347" t="s">
        <v>1399</v>
      </c>
      <c r="M6" s="348">
        <f ca="1">INDIRECT("'数据-取费表'!z"&amp;$G$1)</f>
        <v>0</v>
      </c>
    </row>
    <row r="7" spans="1:37" ht="18" customHeight="1">
      <c r="A7" s="1295"/>
      <c r="B7" s="3196"/>
      <c r="C7" s="1297"/>
      <c r="D7" s="352"/>
      <c r="E7" s="1298" t="s">
        <v>1400</v>
      </c>
      <c r="F7" s="348">
        <f ca="1">IF(INDIRECT("'数据-取费表'!ah"&amp;$G$1)="",INDIRECT("'数据-取费表'!k"&amp;$G$1),INDIRECT("'数据-取费表'!ah"&amp;$G$1))</f>
        <v>0</v>
      </c>
      <c r="G7" s="1850"/>
      <c r="H7" s="349"/>
      <c r="I7" s="3196"/>
      <c r="J7" s="351"/>
      <c r="K7" s="352"/>
      <c r="L7" s="347" t="s">
        <v>1400</v>
      </c>
      <c r="M7" s="348">
        <f ca="1">F7</f>
        <v>0</v>
      </c>
    </row>
    <row r="8" spans="1:37" ht="18" customHeight="1">
      <c r="A8" s="349"/>
      <c r="B8" s="3196"/>
      <c r="C8" s="351"/>
      <c r="D8" s="352"/>
      <c r="E8" s="347" t="s">
        <v>1401</v>
      </c>
      <c r="F8" s="348">
        <f ca="1">INDIRECT("'数据-取费表'!ai"&amp;$G$1)</f>
        <v>0</v>
      </c>
      <c r="G8" s="1850"/>
      <c r="H8" s="349"/>
      <c r="I8" s="3196"/>
      <c r="J8" s="351"/>
      <c r="K8" s="352"/>
      <c r="L8" s="347" t="s">
        <v>1401</v>
      </c>
      <c r="M8" s="348">
        <f ca="1">INDIRECT("'数据-取费表'!ai"&amp;$G$1)</f>
        <v>0</v>
      </c>
    </row>
    <row r="9" spans="1:37" ht="18" customHeight="1">
      <c r="A9" s="349"/>
      <c r="B9" s="3197"/>
      <c r="C9" s="351"/>
      <c r="D9" s="352"/>
      <c r="E9" s="347" t="s">
        <v>1402</v>
      </c>
      <c r="F9" s="357">
        <f ca="1">INDIRECT("'数据-取费表'!w"&amp;$G$1)</f>
        <v>0</v>
      </c>
      <c r="G9" s="1850"/>
      <c r="H9" s="349"/>
      <c r="I9" s="3197"/>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3036</v>
      </c>
      <c r="E10" s="358" t="s">
        <v>1404</v>
      </c>
      <c r="F10" s="1366"/>
      <c r="G10" s="1850"/>
      <c r="H10" s="1291" t="s">
        <v>1035</v>
      </c>
      <c r="I10" s="1822" t="s">
        <v>1403</v>
      </c>
      <c r="J10" s="346">
        <f ca="1">ROUND(IF(M10="押一",J6/12*M11,IF(M10="押二",J6/12*2*M11,IF(M10="押三",J6/12*3*M11,J11*M11))),0)</f>
        <v>0</v>
      </c>
      <c r="K10" s="1834" t="s">
        <v>3038</v>
      </c>
      <c r="L10" s="358" t="s">
        <v>1404</v>
      </c>
      <c r="M10" s="1366"/>
    </row>
    <row r="11" spans="1:37" ht="18" customHeight="1">
      <c r="A11" s="353"/>
      <c r="B11" s="1824" t="s">
        <v>1596</v>
      </c>
      <c r="C11" s="1178"/>
      <c r="D11" s="352"/>
      <c r="E11" s="358" t="s">
        <v>1406</v>
      </c>
      <c r="F11" s="359">
        <f ca="1">'数据-取费表'!B39</f>
        <v>1.4999999999999999E-2</v>
      </c>
      <c r="G11" s="1850"/>
      <c r="H11" s="1299"/>
      <c r="I11" s="1824" t="s">
        <v>1597</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0"/>
      <c r="H13" s="1329">
        <v>2</v>
      </c>
      <c r="I13" s="1330" t="s">
        <v>1408</v>
      </c>
      <c r="J13" s="1290">
        <f ca="1">ROUND(J14*J15,0)</f>
        <v>0</v>
      </c>
      <c r="K13" s="1337" t="s">
        <v>1409</v>
      </c>
      <c r="L13" s="1851"/>
      <c r="M13" s="1852"/>
    </row>
    <row r="14" spans="1:37" ht="18" customHeight="1">
      <c r="A14" s="1201" t="s">
        <v>1030</v>
      </c>
      <c r="B14" s="347" t="s">
        <v>1411</v>
      </c>
      <c r="C14" s="363">
        <f ca="1">ROUND(INDIRECT("'数据-取费表'!l"&amp;$G$1)*F43+'数据-取费表'!L14*INDIRECT("'数据-取费表'!S"&amp;$G$1),0)</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9" t="s">
        <v>1026</v>
      </c>
      <c r="I16" s="1330" t="s">
        <v>1418</v>
      </c>
      <c r="J16" s="355">
        <f ca="1">ROUND(J17+J22+J23+J24,0)</f>
        <v>0</v>
      </c>
      <c r="K16" s="1337" t="s">
        <v>1419</v>
      </c>
      <c r="L16" s="1338"/>
      <c r="M16" s="1294"/>
    </row>
    <row r="17" spans="1:37" s="1857" customFormat="1" ht="18" customHeight="1">
      <c r="A17" s="1201" t="s">
        <v>1384</v>
      </c>
      <c r="B17" s="347" t="s">
        <v>1420</v>
      </c>
      <c r="C17" s="24">
        <f ca="1">ROUND(F17*(F43+INDIRECT("'数据-取费表'!S"&amp;$G$1)),0)</f>
        <v>0</v>
      </c>
      <c r="D17" s="347" t="s">
        <v>1421</v>
      </c>
      <c r="E17" s="347" t="s">
        <v>1422</v>
      </c>
      <c r="F17" s="26">
        <f>'数据-取费表'!B35</f>
        <v>200</v>
      </c>
      <c r="G17" s="1853"/>
      <c r="H17" s="1201" t="s">
        <v>1031</v>
      </c>
      <c r="I17" s="347" t="s">
        <v>1423</v>
      </c>
      <c r="J17" s="24">
        <f ca="1">ROUND(IF(项目基本情况!B11="自然人",J6*M17/(1+'数据-取费表'!C42),J18+J19+J20),0)</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ROUND(M20*M21,0)</f>
        <v>0</v>
      </c>
      <c r="K20" s="370" t="s">
        <v>1436</v>
      </c>
      <c r="L20" s="347" t="s">
        <v>1437</v>
      </c>
      <c r="M20" s="371">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3"/>
      <c r="H23" s="1201"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ROUND(J5*M24,0)</f>
        <v>0</v>
      </c>
      <c r="K24" s="1342" t="s">
        <v>1453</v>
      </c>
      <c r="L24" s="1340" t="s">
        <v>1449</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0</v>
      </c>
      <c r="D29" s="1342"/>
      <c r="E29" s="1340"/>
      <c r="F29" s="1343"/>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0</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ROUND(IF(项目基本情况!B11="自然人",C6*F31/(1+'数据-取费表'!C42),C32+C33+C34),0)</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0</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1" t="s">
        <v>1383</v>
      </c>
      <c r="B34" s="164" t="s">
        <v>1435</v>
      </c>
      <c r="C34" s="25">
        <f ca="1">IF(项目基本情况!B11="自然人","——",ROUND(F34*F35,))</f>
        <v>0</v>
      </c>
      <c r="D34" s="370" t="s">
        <v>1436</v>
      </c>
      <c r="E34" s="347" t="s">
        <v>1437</v>
      </c>
      <c r="F34" s="371">
        <f>'数据-取费表'!B52</f>
        <v>24</v>
      </c>
      <c r="G34" s="1850"/>
      <c r="H34" s="745"/>
      <c r="I34" s="1859"/>
      <c r="J34" s="1860"/>
      <c r="K34" s="1862"/>
      <c r="L34" s="1863"/>
      <c r="M34" s="1863"/>
    </row>
    <row r="35" spans="1:18" ht="18" customHeight="1">
      <c r="A35" s="1353"/>
      <c r="B35" s="1351"/>
      <c r="C35" s="29"/>
      <c r="D35" s="373"/>
      <c r="E35" s="347" t="s">
        <v>1441</v>
      </c>
      <c r="F35" s="348">
        <f ca="1">INDIRECT("'数据-取费表'!r"&amp;$G$1)</f>
        <v>0</v>
      </c>
      <c r="G35" s="1850"/>
      <c r="H35" s="745"/>
      <c r="I35" s="1859"/>
      <c r="J35" s="1860"/>
      <c r="K35" s="1861"/>
      <c r="L35" s="1858"/>
      <c r="M35" s="1858"/>
    </row>
    <row r="36" spans="1:18" ht="18" customHeight="1">
      <c r="A36" s="1352" t="s">
        <v>1035</v>
      </c>
      <c r="B36" s="347" t="s">
        <v>1443</v>
      </c>
      <c r="C36" s="24">
        <f ca="1">ROUND(C29*F36,0)</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ROUND(C13*F37,0)</f>
        <v>0</v>
      </c>
      <c r="D37" s="1797" t="s">
        <v>1448</v>
      </c>
      <c r="E37" s="347" t="s">
        <v>1449</v>
      </c>
      <c r="F37" s="376">
        <f ca="1">INDIRECT("'数据-取费表'!Al"&amp;$G$1)</f>
        <v>0</v>
      </c>
      <c r="G37" s="1850"/>
      <c r="H37" s="1858"/>
      <c r="I37" s="1859"/>
      <c r="J37" s="1860"/>
      <c r="K37" s="751"/>
      <c r="L37" s="1858"/>
      <c r="M37" s="1858"/>
    </row>
    <row r="38" spans="1:18" ht="18" customHeight="1" thickBot="1">
      <c r="A38" s="1339" t="s">
        <v>1387</v>
      </c>
      <c r="B38" s="1340" t="s">
        <v>1433</v>
      </c>
      <c r="C38" s="1341">
        <f ca="1">ROUND(C5*F38,1)</f>
        <v>0</v>
      </c>
      <c r="D38" s="1342" t="s">
        <v>1453</v>
      </c>
      <c r="E38" s="1340" t="s">
        <v>1449</v>
      </c>
      <c r="F38" s="1336">
        <f ca="1">INDIRECT("'数据-取费表'!Am"&amp;$G$1)</f>
        <v>0</v>
      </c>
      <c r="G38" s="1850"/>
      <c r="H38" s="1858"/>
      <c r="I38" s="1859"/>
      <c r="J38" s="1860"/>
      <c r="K38" s="1864"/>
      <c r="L38" s="1858"/>
      <c r="M38" s="1858"/>
    </row>
    <row r="39" spans="1:18" ht="24.6" customHeight="1" thickTop="1">
      <c r="A39" s="1329" t="s">
        <v>1027</v>
      </c>
      <c r="B39" s="1344" t="s">
        <v>1477</v>
      </c>
      <c r="C39" s="355">
        <f ca="1">C5-C30</f>
        <v>0</v>
      </c>
      <c r="D39" s="1345" t="s">
        <v>1478</v>
      </c>
      <c r="E39" s="1346"/>
      <c r="F39" s="1347"/>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5"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5" t="s">
        <v>1390</v>
      </c>
      <c r="B47" s="1197" t="s">
        <v>1391</v>
      </c>
      <c r="C47" s="1197" t="s">
        <v>1392</v>
      </c>
      <c r="D47" s="1197" t="s">
        <v>1393</v>
      </c>
      <c r="E47" s="1279" t="s">
        <v>1394</v>
      </c>
      <c r="F47" s="1280"/>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60" t="s">
        <v>1131</v>
      </c>
      <c r="B48" s="345" t="s">
        <v>1395</v>
      </c>
      <c r="C48" s="1816">
        <f ca="1">C49+C53+C55</f>
        <v>0</v>
      </c>
      <c r="D48" s="1362"/>
      <c r="E48" s="1363"/>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4" t="s">
        <v>1132</v>
      </c>
      <c r="B49" s="1828" t="s">
        <v>1484</v>
      </c>
      <c r="C49" s="1364">
        <f ca="1">ROUND(F49*F51*F50*(1-F52),0)</f>
        <v>0</v>
      </c>
      <c r="D49" s="1276" t="s">
        <v>1398</v>
      </c>
      <c r="E49" s="1829" t="s">
        <v>1485</v>
      </c>
      <c r="F49" s="1281"/>
      <c r="G49" s="1890"/>
      <c r="H49" s="793"/>
      <c r="I49" s="1886" t="s">
        <v>1528</v>
      </c>
      <c r="J49" s="1891"/>
      <c r="K49" s="1888" t="s">
        <v>1529</v>
      </c>
      <c r="L49" s="1892"/>
      <c r="O49" s="1893" t="s">
        <v>1038</v>
      </c>
      <c r="P49" s="1884" t="s">
        <v>1530</v>
      </c>
      <c r="Q49" s="1885">
        <f ca="1">C29</f>
        <v>0</v>
      </c>
      <c r="R49" s="1885" t="s">
        <v>1523</v>
      </c>
    </row>
    <row r="50" spans="1:18" s="1841" customFormat="1" ht="13.5" thickBot="1">
      <c r="A50" s="1195"/>
      <c r="B50" s="1198"/>
      <c r="C50" s="1199"/>
      <c r="D50" s="1172"/>
      <c r="E50" s="1277" t="s">
        <v>1400</v>
      </c>
      <c r="F50" s="1278">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6"/>
      <c r="B51" s="1198"/>
      <c r="C51" s="1199"/>
      <c r="D51" s="1172"/>
      <c r="E51" s="1200"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6"/>
      <c r="B52" s="1198"/>
      <c r="C52" s="1199"/>
      <c r="D52" s="1172"/>
      <c r="E52" s="1200" t="s">
        <v>1402</v>
      </c>
      <c r="F52" s="1275"/>
      <c r="I52" s="1902" t="s">
        <v>1537</v>
      </c>
      <c r="J52" s="1903"/>
      <c r="K52" s="1902" t="s">
        <v>1538</v>
      </c>
      <c r="L52" s="1903"/>
      <c r="O52" s="1893" t="s">
        <v>1041</v>
      </c>
      <c r="P52" s="1884" t="s">
        <v>1539</v>
      </c>
      <c r="Q52" s="1885">
        <f ca="1">J53</f>
        <v>0</v>
      </c>
      <c r="R52" s="1885" t="s">
        <v>1540</v>
      </c>
    </row>
    <row r="53" spans="1:18" s="1841" customFormat="1" ht="30.75" customHeight="1" thickBot="1">
      <c r="A53" s="1361" t="s">
        <v>1133</v>
      </c>
      <c r="B53" s="369" t="s">
        <v>1403</v>
      </c>
      <c r="C53" s="361">
        <f ca="1">ROUND(IF(F53="押一",C49/12*F11,IF(F53="押二",C49/12*2*F11,IF(F53="押三",C49/12*3*F11,C54*F11))),0)</f>
        <v>0</v>
      </c>
      <c r="D53" s="1823" t="s">
        <v>3039</v>
      </c>
      <c r="E53" s="358" t="s">
        <v>1404</v>
      </c>
      <c r="F53" s="1366"/>
      <c r="I53" s="1904" t="s">
        <v>1541</v>
      </c>
      <c r="J53" s="2946">
        <f ca="1">IF(M47="住宅",IF(D1="——",MAX(J51,L48),MAX(J51,L48-'数据-取费表'!B24)),IF(D1="——",MIN(J51,L48),MIN(J51,L48-'数据-取费表'!B24)))</f>
        <v>0</v>
      </c>
      <c r="K53" s="3193" t="s">
        <v>1542</v>
      </c>
      <c r="L53" s="3194"/>
      <c r="O53" s="1883" t="s">
        <v>1042</v>
      </c>
      <c r="P53" s="1884" t="s">
        <v>1543</v>
      </c>
      <c r="Q53" s="1885" t="e">
        <f ca="1">Q47+Q48</f>
        <v>#DIV/0!</v>
      </c>
      <c r="R53" s="1885" t="s">
        <v>1043</v>
      </c>
    </row>
    <row r="54" spans="1:18" s="1841" customFormat="1" ht="13.5"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3" t="s">
        <v>1071</v>
      </c>
      <c r="B55" s="1826" t="s">
        <v>1407</v>
      </c>
      <c r="C55" s="1334"/>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0</v>
      </c>
      <c r="D56" s="1912"/>
      <c r="E56" s="1913"/>
      <c r="F56" s="1905"/>
      <c r="I56" s="1914" t="s">
        <v>1548</v>
      </c>
      <c r="J56" s="1915"/>
      <c r="K56" s="1886" t="s">
        <v>1549</v>
      </c>
      <c r="L56" s="1889">
        <f ca="1">IF(L48&lt;J51,"——",L48-J51)</f>
        <v>0</v>
      </c>
      <c r="O56" s="1883" t="s">
        <v>1036</v>
      </c>
      <c r="P56" s="1884" t="s">
        <v>1522</v>
      </c>
      <c r="Q56" s="1885" t="e">
        <f ca="1">C40+J29</f>
        <v>#DIV/0!</v>
      </c>
      <c r="R56" s="1885" t="s">
        <v>1523</v>
      </c>
    </row>
    <row r="57" spans="1:18" s="1841" customFormat="1" ht="24.75" thickBot="1">
      <c r="A57" s="1916"/>
      <c r="B57" s="1169" t="s">
        <v>1472</v>
      </c>
      <c r="C57" s="282">
        <f ca="1">C29</f>
        <v>0</v>
      </c>
      <c r="D57" s="1917"/>
      <c r="E57" s="1918"/>
      <c r="F57" s="1919"/>
      <c r="I57" s="1920" t="s">
        <v>1550</v>
      </c>
      <c r="J57" s="1921">
        <f ca="1">IF(OR(M47="住宅",J51&lt;L48,J56="是"),"——",J51-L48)</f>
        <v>0</v>
      </c>
      <c r="K57" s="1886" t="s">
        <v>1599</v>
      </c>
      <c r="L57" s="1889">
        <f ca="1">IF(L48&lt;J51,"——",IF(L55="比较法",L49,IF(L55="基准地价",L50,L51)))</f>
        <v>0</v>
      </c>
      <c r="O57" s="1883" t="s">
        <v>1037</v>
      </c>
      <c r="P57" s="1884" t="s">
        <v>1600</v>
      </c>
      <c r="Q57" s="1885" t="e">
        <f ca="1">L60</f>
        <v>#DIV/0!</v>
      </c>
      <c r="R57" s="1885" t="s">
        <v>1601</v>
      </c>
    </row>
    <row r="58" spans="1:18" s="1841" customFormat="1" ht="24.75" thickBot="1">
      <c r="A58" s="360" t="s">
        <v>1026</v>
      </c>
      <c r="B58" s="1177" t="s">
        <v>1418</v>
      </c>
      <c r="C58" s="361">
        <f ca="1">ROUND(C59+C64+C65+C66,0)</f>
        <v>0</v>
      </c>
      <c r="D58" s="1179" t="s">
        <v>1419</v>
      </c>
      <c r="E58" s="1180"/>
      <c r="F58" s="1181"/>
      <c r="I58" s="1920" t="s">
        <v>1554</v>
      </c>
      <c r="J58" s="1922" t="e">
        <f ca="1">IF(J55&lt;0.4,0.4,J55)</f>
        <v>#DIV/0!</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IF(项目基本情况!B11="自然人","——",IF(D61="按租金收入计税",ROUND(C48*F61,0),IF(D61="按房产原值计税",ROUND(C57*F61*0.7,0),INDIRECT("'数据-取费表'!Aj"&amp;$G$1))))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IF(项目基本情况!B11="自然人","——",ROUND(F62*F63,0))</f>
        <v>0</v>
      </c>
      <c r="D62" s="1184" t="s">
        <v>1491</v>
      </c>
      <c r="E62" s="1169" t="s">
        <v>1492</v>
      </c>
      <c r="F62" s="371">
        <f t="shared" si="0"/>
        <v>24</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ROUND(C57*F64,0)</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ROUND(C56*F65,0)</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1" t="s">
        <v>1498</v>
      </c>
      <c r="B66" s="1169" t="s">
        <v>1433</v>
      </c>
      <c r="C66" s="24">
        <f ca="1">ROUND(C48*F66,0)</f>
        <v>0</v>
      </c>
      <c r="D66" s="1183" t="s">
        <v>1499</v>
      </c>
      <c r="E66" s="1169" t="s">
        <v>1416</v>
      </c>
      <c r="F66" s="357">
        <f t="shared" ca="1" si="0"/>
        <v>0</v>
      </c>
      <c r="O66" s="1883" t="s">
        <v>1037</v>
      </c>
      <c r="P66" s="1884" t="s">
        <v>1552</v>
      </c>
      <c r="Q66" s="1885" t="e">
        <f ca="1">L60</f>
        <v>#DIV/0!</v>
      </c>
      <c r="R66" s="1885" t="s">
        <v>1575</v>
      </c>
    </row>
    <row r="67" spans="1:18" s="1841" customFormat="1" ht="16.5"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5"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3.5" thickBot="1">
      <c r="A69" s="1170"/>
      <c r="B69" s="1171"/>
      <c r="C69" s="351"/>
      <c r="D69" s="1189" t="s">
        <v>1467</v>
      </c>
      <c r="E69" s="1169" t="s">
        <v>1468</v>
      </c>
      <c r="F69" s="379">
        <f ca="1">F41</f>
        <v>0</v>
      </c>
      <c r="O69" s="1893" t="s">
        <v>1044</v>
      </c>
      <c r="P69" s="1932" t="s">
        <v>1578</v>
      </c>
      <c r="Q69" s="1885">
        <f ca="1">C39</f>
        <v>0</v>
      </c>
      <c r="R69" s="1885" t="s">
        <v>1523</v>
      </c>
    </row>
    <row r="70" spans="1:18" s="1841" customFormat="1" ht="13.5" thickBot="1">
      <c r="A70" s="1173"/>
      <c r="B70" s="1174"/>
      <c r="C70" s="355"/>
      <c r="D70" s="1185"/>
      <c r="E70" s="1169" t="s">
        <v>1471</v>
      </c>
      <c r="F70" s="1275">
        <f ca="1">F42</f>
        <v>0</v>
      </c>
      <c r="O70" s="1893" t="s">
        <v>1045</v>
      </c>
      <c r="P70" s="1932" t="s">
        <v>1579</v>
      </c>
      <c r="Q70" s="1885">
        <f ca="1">C13</f>
        <v>0</v>
      </c>
      <c r="R70" s="1885" t="s">
        <v>1523</v>
      </c>
    </row>
    <row r="71" spans="1:18" s="1841" customFormat="1" ht="13.5" thickBot="1">
      <c r="A71" s="1190" t="s">
        <v>1029</v>
      </c>
      <c r="B71" s="1191" t="s">
        <v>1481</v>
      </c>
      <c r="C71" s="382" t="e">
        <f ca="1">ROUND(C68/F71,0)</f>
        <v>#DIV/0!</v>
      </c>
      <c r="D71" s="1192" t="s">
        <v>1482</v>
      </c>
      <c r="E71" s="1193" t="s">
        <v>1483</v>
      </c>
      <c r="F71" s="385">
        <f ca="1">F43</f>
        <v>0</v>
      </c>
      <c r="O71" s="1893" t="s">
        <v>1046</v>
      </c>
      <c r="P71" s="1932" t="s">
        <v>1580</v>
      </c>
      <c r="Q71" s="1896">
        <f ca="1">C76</f>
        <v>0</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8" t="s">
        <v>2523</v>
      </c>
      <c r="B1" s="2559"/>
      <c r="C1" s="2559"/>
      <c r="D1" s="2559"/>
      <c r="E1" s="2560"/>
    </row>
    <row r="2" spans="1:6" ht="15.75">
      <c r="A2" s="2561" t="s">
        <v>2324</v>
      </c>
      <c r="B2" s="2562">
        <f ca="1">SUMIF(B6:B13,"&lt;&gt;#ref!",B6:B13)</f>
        <v>115451</v>
      </c>
      <c r="C2" s="2563" t="s">
        <v>2516</v>
      </c>
      <c r="D2" s="2564" t="s">
        <v>2517</v>
      </c>
      <c r="E2" s="2565">
        <f>SUM(E6:E13)</f>
        <v>51328.59</v>
      </c>
    </row>
    <row r="3" spans="1:6" ht="15.75">
      <c r="A3" s="2561" t="s">
        <v>1389</v>
      </c>
      <c r="B3" s="2562">
        <f ca="1">ROUND(B2*10000/E2,0)</f>
        <v>22493</v>
      </c>
      <c r="C3" s="2563" t="s">
        <v>2524</v>
      </c>
      <c r="D3" s="2566"/>
      <c r="E3" s="2567"/>
    </row>
    <row r="4" spans="1:6" ht="15.75">
      <c r="A4" s="2568"/>
      <c r="B4" s="2566"/>
      <c r="C4" s="2566"/>
      <c r="D4" s="2566"/>
      <c r="E4" s="2567"/>
    </row>
    <row r="5" spans="1:6" ht="15">
      <c r="A5" s="2569" t="s">
        <v>2518</v>
      </c>
      <c r="B5" s="3198" t="s">
        <v>2519</v>
      </c>
      <c r="C5" s="3198"/>
      <c r="D5" s="2570"/>
      <c r="E5" s="2571" t="s">
        <v>2520</v>
      </c>
      <c r="F5" s="2572" t="s">
        <v>2521</v>
      </c>
    </row>
    <row r="6" spans="1:6">
      <c r="A6" s="2573" t="str">
        <f>'数据-取费表'!AN6</f>
        <v>收益法</v>
      </c>
      <c r="B6" s="2572">
        <f ca="1">IF(F6="是",'数据-取费表'!AO6,0)</f>
        <v>115451</v>
      </c>
      <c r="C6" s="2563" t="s">
        <v>2516</v>
      </c>
      <c r="D6" s="2566"/>
      <c r="E6" s="2574">
        <f>IF(OR(A6=0,F6="否"),0,'数据-取费表'!K6+'数据-取费表'!S6)</f>
        <v>51328.59</v>
      </c>
      <c r="F6" s="2575" t="s">
        <v>2522</v>
      </c>
    </row>
    <row r="7" spans="1:6">
      <c r="A7" s="2573">
        <f>'数据-取费表'!AN7</f>
        <v>0</v>
      </c>
      <c r="B7" s="2572" t="e">
        <f ca="1">IF(F7="是",'数据-取费表'!AO7,0)</f>
        <v>#REF!</v>
      </c>
      <c r="C7" s="2563" t="s">
        <v>2516</v>
      </c>
      <c r="D7" s="2566"/>
      <c r="E7" s="2574">
        <f>IF(OR(A7=0,F7="否"),0,'数据-取费表'!K7+'数据-取费表'!S7)</f>
        <v>0</v>
      </c>
      <c r="F7" s="2575" t="s">
        <v>2522</v>
      </c>
    </row>
    <row r="8" spans="1:6">
      <c r="A8" s="2573">
        <f>'数据-取费表'!AN8</f>
        <v>0</v>
      </c>
      <c r="B8" s="2572" t="e">
        <f ca="1">IF(F8="是",'数据-取费表'!AO8,0)</f>
        <v>#REF!</v>
      </c>
      <c r="C8" s="2563" t="s">
        <v>2516</v>
      </c>
      <c r="D8" s="2566"/>
      <c r="E8" s="2574">
        <f>IF(OR(A8=0,F8="否"),0,'数据-取费表'!K8+'数据-取费表'!S8)</f>
        <v>0</v>
      </c>
      <c r="F8" s="2575" t="s">
        <v>2522</v>
      </c>
    </row>
    <row r="9" spans="1:6">
      <c r="A9" s="2573">
        <f>'数据-取费表'!AN9</f>
        <v>0</v>
      </c>
      <c r="B9" s="2572" t="e">
        <f ca="1">IF(F9="是",'数据-取费表'!AO9,0)</f>
        <v>#REF!</v>
      </c>
      <c r="C9" s="2563" t="s">
        <v>2516</v>
      </c>
      <c r="D9" s="2566"/>
      <c r="E9" s="2574">
        <f>IF(OR(A9=0,F9="否"),0,'数据-取费表'!K9+'数据-取费表'!S9)</f>
        <v>0</v>
      </c>
      <c r="F9" s="2575" t="s">
        <v>2522</v>
      </c>
    </row>
    <row r="10" spans="1:6">
      <c r="A10" s="2573">
        <f>'数据-取费表'!AN10</f>
        <v>0</v>
      </c>
      <c r="B10" s="2572" t="e">
        <f ca="1">IF(F10="是",'数据-取费表'!AO10,0)</f>
        <v>#REF!</v>
      </c>
      <c r="C10" s="2563" t="s">
        <v>2516</v>
      </c>
      <c r="D10" s="2566"/>
      <c r="E10" s="2574">
        <f>IF(OR(A10=0,F10="否"),0,'数据-取费表'!K10+'数据-取费表'!S10)</f>
        <v>0</v>
      </c>
      <c r="F10" s="2575" t="s">
        <v>2522</v>
      </c>
    </row>
    <row r="11" spans="1:6">
      <c r="A11" s="2573">
        <f>'数据-取费表'!AN11</f>
        <v>0</v>
      </c>
      <c r="B11" s="2572" t="e">
        <f ca="1">IF(F11="是",'数据-取费表'!AO11,0)</f>
        <v>#REF!</v>
      </c>
      <c r="C11" s="2563" t="s">
        <v>2516</v>
      </c>
      <c r="D11" s="2566"/>
      <c r="E11" s="2574">
        <f>IF(OR(A11=0,F11="否"),0,'数据-取费表'!K11+'数据-取费表'!S11)</f>
        <v>0</v>
      </c>
      <c r="F11" s="2575" t="s">
        <v>2522</v>
      </c>
    </row>
    <row r="12" spans="1:6">
      <c r="A12" s="2573">
        <f>'数据-取费表'!AN12</f>
        <v>0</v>
      </c>
      <c r="B12" s="2572" t="e">
        <f ca="1">IF(F12="是",'数据-取费表'!AO12,0)</f>
        <v>#REF!</v>
      </c>
      <c r="C12" s="2563" t="s">
        <v>2516</v>
      </c>
      <c r="D12" s="2566"/>
      <c r="E12" s="2574">
        <f>IF(OR(A12=0,F12="否"),0,'数据-取费表'!K12+'数据-取费表'!S12)</f>
        <v>0</v>
      </c>
      <c r="F12" s="2575" t="s">
        <v>2522</v>
      </c>
    </row>
    <row r="13" spans="1:6" ht="15" thickBot="1">
      <c r="A13" s="2576">
        <f>'数据-取费表'!AN13</f>
        <v>0</v>
      </c>
      <c r="B13" s="2572" t="e">
        <f ca="1">IF(F13="是",'数据-取费表'!AO13,0)</f>
        <v>#REF!</v>
      </c>
      <c r="C13" s="2577" t="s">
        <v>2516</v>
      </c>
      <c r="D13" s="2578"/>
      <c r="E13" s="2574">
        <f>IF(OR(A13=0,F13="否"),0,'数据-取费表'!K13+'数据-取费表'!S13)</f>
        <v>0</v>
      </c>
      <c r="F13" s="2575"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7" sqref="K7"/>
    </sheetView>
  </sheetViews>
  <sheetFormatPr defaultRowHeight="13.5"/>
  <cols>
    <col min="1" max="1" width="10.5" customWidth="1"/>
    <col min="2" max="2" width="12.875" customWidth="1"/>
    <col min="3" max="3" width="8.75" customWidth="1"/>
  </cols>
  <sheetData>
    <row r="1" spans="1:9" ht="14.25">
      <c r="A1" s="3199" t="s">
        <v>1072</v>
      </c>
      <c r="B1" s="3200"/>
      <c r="C1" s="3201"/>
      <c r="D1" s="3202">
        <f>SUM(I10,I15,I20,I21,I23)</f>
        <v>16455</v>
      </c>
      <c r="E1" s="3202"/>
      <c r="F1" s="3202"/>
      <c r="G1" s="3202"/>
      <c r="H1" s="3202"/>
      <c r="I1" s="3203"/>
    </row>
    <row r="2" spans="1:9">
      <c r="A2" s="3204" t="s">
        <v>1073</v>
      </c>
      <c r="B2" s="3205" t="s">
        <v>1074</v>
      </c>
      <c r="C2" s="3205"/>
      <c r="D2" s="1301" t="s">
        <v>1075</v>
      </c>
      <c r="E2" s="1301" t="s">
        <v>1076</v>
      </c>
      <c r="F2" s="1301" t="s">
        <v>1077</v>
      </c>
      <c r="G2" s="1301" t="s">
        <v>1078</v>
      </c>
      <c r="H2" s="1301" t="s">
        <v>1079</v>
      </c>
      <c r="I2" s="1302" t="s">
        <v>1080</v>
      </c>
    </row>
    <row r="3" spans="1:9">
      <c r="A3" s="3204"/>
      <c r="B3" s="3205" t="s">
        <v>1081</v>
      </c>
      <c r="C3" s="3205"/>
      <c r="D3" s="1303">
        <v>289</v>
      </c>
      <c r="E3" s="1301">
        <v>2000</v>
      </c>
      <c r="F3" s="1304">
        <v>1</v>
      </c>
      <c r="G3" s="2976">
        <v>0.6</v>
      </c>
      <c r="H3" s="1305">
        <v>365</v>
      </c>
      <c r="I3" s="1306">
        <f>ROUND(D3*E3*F3*G3*H3/10000,0)</f>
        <v>12658</v>
      </c>
    </row>
    <row r="4" spans="1:9">
      <c r="A4" s="3204"/>
      <c r="B4" s="3205" t="s">
        <v>1082</v>
      </c>
      <c r="C4" s="3205"/>
      <c r="D4" s="1303"/>
      <c r="E4" s="1301"/>
      <c r="F4" s="1304"/>
      <c r="G4" s="1304"/>
      <c r="H4" s="1305"/>
      <c r="I4" s="1306">
        <f t="shared" ref="I4:I9" si="0">ROUND(D4*E4*F4*G4*H4/10000,0)</f>
        <v>0</v>
      </c>
    </row>
    <row r="5" spans="1:9">
      <c r="A5" s="3204"/>
      <c r="B5" s="3205" t="s">
        <v>1083</v>
      </c>
      <c r="C5" s="3205"/>
      <c r="D5" s="1303"/>
      <c r="E5" s="1301"/>
      <c r="F5" s="1304"/>
      <c r="G5" s="1304"/>
      <c r="H5" s="1305"/>
      <c r="I5" s="1306">
        <f t="shared" si="0"/>
        <v>0</v>
      </c>
    </row>
    <row r="6" spans="1:9">
      <c r="A6" s="3204"/>
      <c r="B6" s="3205" t="s">
        <v>1084</v>
      </c>
      <c r="C6" s="3205"/>
      <c r="D6" s="1303"/>
      <c r="E6" s="1301"/>
      <c r="F6" s="1304"/>
      <c r="G6" s="1304"/>
      <c r="H6" s="1305"/>
      <c r="I6" s="1306">
        <f t="shared" si="0"/>
        <v>0</v>
      </c>
    </row>
    <row r="7" spans="1:9">
      <c r="A7" s="3204"/>
      <c r="B7" s="3205" t="s">
        <v>1085</v>
      </c>
      <c r="C7" s="3205"/>
      <c r="D7" s="1303"/>
      <c r="E7" s="1301"/>
      <c r="F7" s="1304"/>
      <c r="G7" s="1304"/>
      <c r="H7" s="1305"/>
      <c r="I7" s="1306">
        <f t="shared" si="0"/>
        <v>0</v>
      </c>
    </row>
    <row r="8" spans="1:9">
      <c r="A8" s="3204"/>
      <c r="B8" s="3205" t="s">
        <v>1086</v>
      </c>
      <c r="C8" s="3205"/>
      <c r="D8" s="1303"/>
      <c r="E8" s="1301"/>
      <c r="F8" s="1304"/>
      <c r="G8" s="1304"/>
      <c r="H8" s="1305"/>
      <c r="I8" s="1306">
        <f t="shared" si="0"/>
        <v>0</v>
      </c>
    </row>
    <row r="9" spans="1:9">
      <c r="A9" s="3204"/>
      <c r="B9" s="3205" t="s">
        <v>1087</v>
      </c>
      <c r="C9" s="3205"/>
      <c r="D9" s="1303"/>
      <c r="E9" s="1301"/>
      <c r="F9" s="1304"/>
      <c r="G9" s="1304"/>
      <c r="H9" s="1305"/>
      <c r="I9" s="1306">
        <f t="shared" si="0"/>
        <v>0</v>
      </c>
    </row>
    <row r="10" spans="1:9">
      <c r="A10" s="3204"/>
      <c r="B10" s="3206" t="s">
        <v>1088</v>
      </c>
      <c r="C10" s="3206"/>
      <c r="D10" s="1307"/>
      <c r="E10" s="1307" t="e">
        <f>ROUND(D1*10000/D10/H9,0)</f>
        <v>#DIV/0!</v>
      </c>
      <c r="F10" s="1308"/>
      <c r="G10" s="1308"/>
      <c r="H10" s="1309"/>
      <c r="I10" s="1310">
        <f>SUM(I3:I9)</f>
        <v>12658</v>
      </c>
    </row>
    <row r="11" spans="1:9" ht="14.25">
      <c r="A11" s="3204" t="s">
        <v>1089</v>
      </c>
      <c r="B11" s="3205" t="s">
        <v>1090</v>
      </c>
      <c r="C11" s="3205"/>
      <c r="D11" s="1303" t="s">
        <v>1091</v>
      </c>
      <c r="E11" s="1303" t="s">
        <v>1092</v>
      </c>
      <c r="F11" s="1304" t="s">
        <v>1093</v>
      </c>
      <c r="G11" s="1304" t="s">
        <v>1079</v>
      </c>
      <c r="H11" s="1311" t="s">
        <v>1094</v>
      </c>
      <c r="I11" s="1302" t="s">
        <v>1080</v>
      </c>
    </row>
    <row r="12" spans="1:9">
      <c r="A12" s="3204"/>
      <c r="B12" s="3205" t="s">
        <v>1095</v>
      </c>
      <c r="C12" s="3205"/>
      <c r="D12" s="1303"/>
      <c r="E12" s="1303"/>
      <c r="F12" s="1304"/>
      <c r="G12" s="1305"/>
      <c r="H12" s="1312"/>
      <c r="I12" s="1302">
        <f>ROUND(D12*E12*F12*G12/10000,0)</f>
        <v>0</v>
      </c>
    </row>
    <row r="13" spans="1:9">
      <c r="A13" s="3204"/>
      <c r="B13" s="3205" t="s">
        <v>1096</v>
      </c>
      <c r="C13" s="3205"/>
      <c r="D13" s="1303"/>
      <c r="E13" s="1303"/>
      <c r="F13" s="1304"/>
      <c r="G13" s="1305"/>
      <c r="H13" s="1312"/>
      <c r="I13" s="1302">
        <f>ROUND(D13*E13*F13*G13/10000,0)</f>
        <v>0</v>
      </c>
    </row>
    <row r="14" spans="1:9">
      <c r="A14" s="3204"/>
      <c r="B14" s="3205" t="s">
        <v>1097</v>
      </c>
      <c r="C14" s="3205"/>
      <c r="D14" s="1303"/>
      <c r="E14" s="1303"/>
      <c r="F14" s="1304"/>
      <c r="G14" s="1305"/>
      <c r="H14" s="1312"/>
      <c r="I14" s="1302">
        <f>ROUND(D14*E14*F14*G14/10000,0)</f>
        <v>0</v>
      </c>
    </row>
    <row r="15" spans="1:9">
      <c r="A15" s="3204"/>
      <c r="B15" s="3206" t="s">
        <v>1088</v>
      </c>
      <c r="C15" s="3206"/>
      <c r="D15" s="1307"/>
      <c r="E15" s="1307">
        <f>SUM(E12:E14)</f>
        <v>0</v>
      </c>
      <c r="F15" s="1308"/>
      <c r="G15" s="1305"/>
      <c r="H15" s="1312"/>
      <c r="I15" s="1313">
        <f>SUM(I12:I14)</f>
        <v>0</v>
      </c>
    </row>
    <row r="16" spans="1:9" ht="24">
      <c r="A16" s="3204" t="s">
        <v>1098</v>
      </c>
      <c r="B16" s="3205" t="s">
        <v>1099</v>
      </c>
      <c r="C16" s="3205"/>
      <c r="D16" s="1303" t="s">
        <v>1075</v>
      </c>
      <c r="E16" s="1314" t="s">
        <v>1100</v>
      </c>
      <c r="F16" s="1304" t="s">
        <v>1101</v>
      </c>
      <c r="G16" s="1305" t="s">
        <v>1079</v>
      </c>
      <c r="H16" s="1311" t="s">
        <v>1094</v>
      </c>
      <c r="I16" s="1302" t="s">
        <v>1080</v>
      </c>
    </row>
    <row r="17" spans="1:9" ht="14.25">
      <c r="A17" s="3204"/>
      <c r="B17" s="3205" t="s">
        <v>1102</v>
      </c>
      <c r="C17" s="3205"/>
      <c r="D17" s="1303"/>
      <c r="E17" s="1303"/>
      <c r="F17" s="1304"/>
      <c r="G17" s="1305"/>
      <c r="H17" s="1315"/>
      <c r="I17" s="1316">
        <f>ROUND(D17*E17*F17*G17/10000,0)</f>
        <v>0</v>
      </c>
    </row>
    <row r="18" spans="1:9" ht="14.25">
      <c r="A18" s="3204"/>
      <c r="B18" s="3205" t="s">
        <v>1103</v>
      </c>
      <c r="C18" s="3205"/>
      <c r="D18" s="1303"/>
      <c r="E18" s="1303"/>
      <c r="F18" s="1304"/>
      <c r="G18" s="1305"/>
      <c r="H18" s="1315"/>
      <c r="I18" s="1316">
        <f>ROUND(D18*E18*F18*G18/10000,0)</f>
        <v>0</v>
      </c>
    </row>
    <row r="19" spans="1:9" ht="14.25">
      <c r="A19" s="3204"/>
      <c r="B19" s="3205" t="s">
        <v>1104</v>
      </c>
      <c r="C19" s="3205"/>
      <c r="D19" s="1303"/>
      <c r="E19" s="1303"/>
      <c r="F19" s="1304"/>
      <c r="G19" s="1305"/>
      <c r="H19" s="1315"/>
      <c r="I19" s="1316">
        <f>ROUND(D19*E19*F19*G19/10000,0)</f>
        <v>0</v>
      </c>
    </row>
    <row r="20" spans="1:9">
      <c r="A20" s="3204"/>
      <c r="B20" s="3206" t="s">
        <v>1088</v>
      </c>
      <c r="C20" s="3206"/>
      <c r="D20" s="1307">
        <f>SUM(D17:D19)</f>
        <v>0</v>
      </c>
      <c r="E20" s="1307"/>
      <c r="F20" s="1308"/>
      <c r="G20" s="1305"/>
      <c r="H20" s="1312"/>
      <c r="I20" s="1313">
        <f>SUM(I17:I19)</f>
        <v>0</v>
      </c>
    </row>
    <row r="21" spans="1:9">
      <c r="A21" s="3204" t="s">
        <v>1105</v>
      </c>
      <c r="B21" s="3208"/>
      <c r="C21" s="3208"/>
      <c r="D21" s="3208"/>
      <c r="E21" s="3208"/>
      <c r="F21" s="3208"/>
      <c r="G21" s="3208"/>
      <c r="H21" s="2975">
        <v>0.3</v>
      </c>
      <c r="I21" s="1310">
        <f>ROUND(I10*H21,0)</f>
        <v>3797</v>
      </c>
    </row>
    <row r="22" spans="1:9" ht="14.25">
      <c r="A22" s="3209" t="s">
        <v>1106</v>
      </c>
      <c r="B22" s="3210"/>
      <c r="C22" s="3211"/>
      <c r="D22" s="1317" t="s">
        <v>1107</v>
      </c>
      <c r="E22" s="1317" t="s">
        <v>1108</v>
      </c>
      <c r="F22" s="1318" t="s">
        <v>1109</v>
      </c>
      <c r="G22" s="1318" t="s">
        <v>1110</v>
      </c>
      <c r="H22" s="1311" t="s">
        <v>1111</v>
      </c>
      <c r="I22" s="1302" t="s">
        <v>1112</v>
      </c>
    </row>
    <row r="23" spans="1:9" ht="14.25" thickBot="1">
      <c r="A23" s="3212"/>
      <c r="B23" s="3213"/>
      <c r="C23" s="3214"/>
      <c r="D23" s="1319"/>
      <c r="E23" s="1319"/>
      <c r="F23" s="1319"/>
      <c r="G23" s="1320"/>
      <c r="H23" s="1321"/>
      <c r="I23" s="1322">
        <f>ROUND(E23*D23*F23*(1-G23)/10000,0)</f>
        <v>0</v>
      </c>
    </row>
    <row r="26" spans="1:9">
      <c r="A26" s="1323" t="s">
        <v>1113</v>
      </c>
      <c r="B26" s="1323"/>
      <c r="C26" s="1323"/>
      <c r="D26" s="1323"/>
      <c r="E26" s="3215">
        <f>C27-C30-C31-C32</f>
        <v>8227.5</v>
      </c>
      <c r="F26" s="3215"/>
      <c r="G26" s="3215"/>
      <c r="H26" s="1737" t="s">
        <v>1335</v>
      </c>
    </row>
    <row r="27" spans="1:9">
      <c r="A27" s="1324">
        <v>1</v>
      </c>
      <c r="B27" s="1325" t="s">
        <v>1114</v>
      </c>
      <c r="C27" s="1325">
        <f>C28+C29</f>
        <v>16455</v>
      </c>
      <c r="D27" s="1325"/>
      <c r="E27" s="3216"/>
      <c r="F27" s="3216"/>
      <c r="G27" s="3216"/>
    </row>
    <row r="28" spans="1:9">
      <c r="A28" s="1326" t="s">
        <v>1115</v>
      </c>
      <c r="B28" s="1325" t="s">
        <v>1116</v>
      </c>
      <c r="C28" s="1325">
        <f>I10</f>
        <v>12658</v>
      </c>
      <c r="D28" s="1325"/>
      <c r="E28" s="3216"/>
      <c r="F28" s="3216"/>
      <c r="G28" s="3216"/>
    </row>
    <row r="29" spans="1:9">
      <c r="A29" s="1326" t="s">
        <v>1117</v>
      </c>
      <c r="B29" s="1325" t="s">
        <v>1118</v>
      </c>
      <c r="C29" s="1325">
        <f>I15+I20+I21</f>
        <v>3797</v>
      </c>
      <c r="D29" s="1325"/>
      <c r="E29" s="1325" t="s">
        <v>1119</v>
      </c>
      <c r="F29" s="1325"/>
      <c r="G29" s="1325"/>
    </row>
    <row r="30" spans="1:9">
      <c r="A30" s="1324">
        <v>2</v>
      </c>
      <c r="B30" s="1325" t="s">
        <v>1120</v>
      </c>
      <c r="C30" s="1325">
        <f>C27*D30</f>
        <v>4113.75</v>
      </c>
      <c r="D30" s="1327">
        <v>0.25</v>
      </c>
      <c r="E30" s="1325" t="s">
        <v>1121</v>
      </c>
      <c r="F30" s="1325"/>
      <c r="G30" s="1325"/>
    </row>
    <row r="31" spans="1:9">
      <c r="A31" s="1324">
        <v>3</v>
      </c>
      <c r="B31" s="1325" t="s">
        <v>1122</v>
      </c>
      <c r="C31" s="1325">
        <f>C27*D31</f>
        <v>2468.25</v>
      </c>
      <c r="D31" s="1327">
        <v>0.15</v>
      </c>
      <c r="E31" s="1325" t="s">
        <v>1123</v>
      </c>
      <c r="F31" s="1325"/>
      <c r="G31" s="1325"/>
    </row>
    <row r="32" spans="1:9">
      <c r="A32" s="1324">
        <v>4</v>
      </c>
      <c r="B32" s="1325" t="s">
        <v>1124</v>
      </c>
      <c r="C32" s="1325">
        <f>C27*D32</f>
        <v>1645.5</v>
      </c>
      <c r="D32" s="1327">
        <v>0.1</v>
      </c>
      <c r="E32" s="3207"/>
      <c r="F32" s="3207"/>
      <c r="G32" s="3207"/>
    </row>
    <row r="33" spans="1:7" hidden="1">
      <c r="A33" s="3217" t="s">
        <v>1125</v>
      </c>
      <c r="B33" s="3218"/>
      <c r="C33" s="3218"/>
      <c r="D33" s="3219"/>
      <c r="E33" s="3215"/>
      <c r="F33" s="3215"/>
      <c r="G33" s="3215"/>
    </row>
    <row r="34" spans="1:7" hidden="1">
      <c r="A34" s="1328">
        <v>1</v>
      </c>
      <c r="B34" s="1325" t="s">
        <v>1126</v>
      </c>
      <c r="C34" s="1325"/>
      <c r="D34" s="1325"/>
      <c r="E34" s="3216"/>
      <c r="F34" s="3216"/>
      <c r="G34" s="3216"/>
    </row>
    <row r="35" spans="1:7" hidden="1">
      <c r="A35" s="1328">
        <v>2</v>
      </c>
      <c r="B35" s="1325" t="s">
        <v>1127</v>
      </c>
      <c r="C35" s="1325"/>
      <c r="D35" s="1325"/>
      <c r="E35" s="3216"/>
      <c r="F35" s="3216"/>
      <c r="G35" s="3216"/>
    </row>
    <row r="36" spans="1:7" hidden="1">
      <c r="A36" s="1328">
        <v>3</v>
      </c>
      <c r="B36" s="1325" t="s">
        <v>1128</v>
      </c>
      <c r="C36" s="1325"/>
      <c r="D36" s="1325"/>
      <c r="E36" s="3216"/>
      <c r="F36" s="3216"/>
      <c r="G36" s="3216"/>
    </row>
    <row r="37" spans="1:7" hidden="1">
      <c r="A37" s="1328">
        <v>4</v>
      </c>
      <c r="B37" s="1325" t="s">
        <v>1129</v>
      </c>
      <c r="C37" s="1325"/>
      <c r="D37" s="1325"/>
      <c r="E37" s="3216"/>
      <c r="F37" s="3216"/>
      <c r="G37" s="3216"/>
    </row>
    <row r="38" spans="1:7" hidden="1">
      <c r="A38" s="3217" t="s">
        <v>1130</v>
      </c>
      <c r="B38" s="3218"/>
      <c r="C38" s="3218"/>
      <c r="D38" s="3219"/>
      <c r="E38" s="3215"/>
      <c r="F38" s="3215"/>
      <c r="G38" s="32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79" t="s">
        <v>2526</v>
      </c>
      <c r="C1" s="1634" t="s">
        <v>2527</v>
      </c>
      <c r="D1" s="1621"/>
      <c r="E1" s="2580"/>
      <c r="F1" s="2581" t="s">
        <v>2528</v>
      </c>
      <c r="G1" s="1631" t="s">
        <v>2529</v>
      </c>
      <c r="H1" s="1630"/>
      <c r="I1" s="1630"/>
      <c r="J1" s="1630"/>
      <c r="K1" s="1632"/>
      <c r="L1" s="1633"/>
      <c r="M1" s="1634"/>
      <c r="N1" s="1634"/>
      <c r="O1" s="1634"/>
      <c r="P1" s="2582"/>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3"/>
      <c r="D2" s="1365" t="e">
        <f ca="1">SUMIF(INDIRECT("'"&amp;F2&amp;"'"&amp;"!A:A"),"承租人权益价值",INDIRECT("'"&amp;F2&amp;"'"&amp;"!c:c"))</f>
        <v>#REF!</v>
      </c>
      <c r="E2" s="2584" t="s">
        <v>2530</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1389</v>
      </c>
      <c r="B3" s="399" t="e">
        <f ca="1">IF(C2="——",C49,ROUND(B2*10000/D3,0))</f>
        <v>#DIV/0!</v>
      </c>
      <c r="C3" s="400" t="s">
        <v>2531</v>
      </c>
      <c r="D3" s="399">
        <f>IF(D1="",'数据-汇总表'!E3,SUMIF('数据-汇总表'!$C19:$C33,D1,'数据-汇总表'!$E19:$E33))</f>
        <v>51328.59</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5">
      <c r="A4" s="401" t="s">
        <v>2532</v>
      </c>
      <c r="B4" s="402"/>
      <c r="C4" s="3238" t="s">
        <v>2533</v>
      </c>
      <c r="D4" s="3239"/>
      <c r="E4" s="3240" t="s">
        <v>2534</v>
      </c>
      <c r="F4" s="3241"/>
      <c r="G4" s="3238" t="s">
        <v>2535</v>
      </c>
      <c r="H4" s="3239"/>
      <c r="I4" s="3238" t="s">
        <v>2536</v>
      </c>
      <c r="J4" s="3239"/>
      <c r="K4" s="2593" t="s">
        <v>2537</v>
      </c>
      <c r="L4" s="1130"/>
      <c r="M4" s="1131"/>
      <c r="N4" s="1131"/>
      <c r="O4" s="1131"/>
      <c r="P4" s="3242" t="s">
        <v>2538</v>
      </c>
      <c r="Q4" s="3243"/>
      <c r="R4" s="3225" t="s">
        <v>2534</v>
      </c>
      <c r="S4" s="3226"/>
      <c r="T4" s="3225" t="s">
        <v>2535</v>
      </c>
      <c r="U4" s="3226"/>
      <c r="V4" s="3250" t="s">
        <v>2536</v>
      </c>
      <c r="W4" s="3250"/>
      <c r="X4" s="1812"/>
      <c r="Y4" s="3225" t="s">
        <v>2538</v>
      </c>
      <c r="Z4" s="3226"/>
      <c r="AA4" s="3220" t="s">
        <v>2534</v>
      </c>
      <c r="AB4" s="3220" t="s">
        <v>2535</v>
      </c>
      <c r="AC4" s="3220" t="s">
        <v>2536</v>
      </c>
    </row>
    <row r="5" spans="1:29" ht="15">
      <c r="A5" s="404"/>
      <c r="B5" s="405"/>
      <c r="C5" s="3231" t="s">
        <v>2539</v>
      </c>
      <c r="D5" s="3232"/>
      <c r="E5" s="3229" t="s">
        <v>2540</v>
      </c>
      <c r="F5" s="3230"/>
      <c r="G5" s="3231" t="s">
        <v>2541</v>
      </c>
      <c r="H5" s="3232"/>
      <c r="I5" s="3231" t="s">
        <v>2542</v>
      </c>
      <c r="J5" s="3232"/>
      <c r="K5" s="2594"/>
      <c r="L5" s="1130"/>
      <c r="M5" s="1131"/>
      <c r="N5" s="1131"/>
      <c r="O5" s="1131"/>
      <c r="P5" s="3244"/>
      <c r="Q5" s="3245"/>
      <c r="R5" s="3227"/>
      <c r="S5" s="3228"/>
      <c r="T5" s="3227"/>
      <c r="U5" s="3228"/>
      <c r="V5" s="3250"/>
      <c r="W5" s="3250"/>
      <c r="X5" s="1812"/>
      <c r="Y5" s="3227"/>
      <c r="Z5" s="3228"/>
      <c r="AA5" s="3221"/>
      <c r="AB5" s="3221"/>
      <c r="AC5" s="3221"/>
    </row>
    <row r="6" spans="1:29" ht="15.75" thickBot="1">
      <c r="A6" s="406"/>
      <c r="B6" s="407"/>
      <c r="C6" s="3233" t="s">
        <v>2543</v>
      </c>
      <c r="D6" s="3234"/>
      <c r="E6" s="3235" t="s">
        <v>2543</v>
      </c>
      <c r="F6" s="3236"/>
      <c r="G6" s="3233" t="s">
        <v>2543</v>
      </c>
      <c r="H6" s="3234"/>
      <c r="I6" s="3233" t="s">
        <v>2543</v>
      </c>
      <c r="J6" s="3234"/>
      <c r="K6" s="2594" t="s">
        <v>2544</v>
      </c>
      <c r="L6" s="1130"/>
      <c r="M6" s="1131"/>
      <c r="N6" s="1131"/>
      <c r="O6" s="1131"/>
      <c r="P6" s="3246"/>
      <c r="Q6" s="3247"/>
      <c r="R6" s="3227"/>
      <c r="S6" s="3228"/>
      <c r="T6" s="3248"/>
      <c r="U6" s="3249"/>
      <c r="V6" s="3250"/>
      <c r="W6" s="3250"/>
      <c r="X6" s="1812"/>
      <c r="Y6" s="3248"/>
      <c r="Z6" s="3249"/>
      <c r="AA6" s="3222"/>
      <c r="AB6" s="3222"/>
      <c r="AC6" s="3222"/>
    </row>
    <row r="7" spans="1:29" s="117" customFormat="1" ht="15.75" thickBot="1">
      <c r="A7" s="408" t="s">
        <v>2545</v>
      </c>
      <c r="B7" s="409"/>
      <c r="C7" s="410">
        <f>'数据-取费表'!B2</f>
        <v>43902</v>
      </c>
      <c r="D7" s="411">
        <v>100</v>
      </c>
      <c r="E7" s="412"/>
      <c r="F7" s="413">
        <f>SUMIF(58:58,YEAR(E7)&amp;"-"&amp;MONTH(E7),59:59)</f>
        <v>0</v>
      </c>
      <c r="G7" s="412"/>
      <c r="H7" s="411">
        <f>SUMIF(58:58,YEAR(G7)&amp;"-"&amp;MONTH(G7),59:59)</f>
        <v>0</v>
      </c>
      <c r="I7" s="412"/>
      <c r="J7" s="411">
        <f>SUMIF(58:58,YEAR(I7)&amp;"-"&amp;MONTH(I7),59:59)</f>
        <v>0</v>
      </c>
      <c r="K7" s="2595"/>
      <c r="L7" s="1132"/>
      <c r="M7" s="1133"/>
      <c r="N7" s="1133"/>
      <c r="O7" s="1133"/>
      <c r="P7" s="3223" t="s">
        <v>2546</v>
      </c>
      <c r="Q7" s="3251"/>
      <c r="R7" s="770" t="s">
        <v>23</v>
      </c>
      <c r="S7" s="771">
        <f t="shared" ref="S7:S15" si="0">F7</f>
        <v>0</v>
      </c>
      <c r="T7" s="770" t="s">
        <v>23</v>
      </c>
      <c r="U7" s="771">
        <f t="shared" ref="U7:U15" si="1">H7</f>
        <v>0</v>
      </c>
      <c r="V7" s="770" t="s">
        <v>23</v>
      </c>
      <c r="W7" s="771">
        <f t="shared" ref="W7:W15" si="2">J7</f>
        <v>0</v>
      </c>
      <c r="X7" s="772"/>
      <c r="Y7" s="3223" t="s">
        <v>2546</v>
      </c>
      <c r="Z7" s="3224"/>
      <c r="AA7" s="773" t="e">
        <f>D7/F7</f>
        <v>#DIV/0!</v>
      </c>
      <c r="AB7" s="773" t="e">
        <f>D7/H7</f>
        <v>#DIV/0!</v>
      </c>
      <c r="AC7" s="773" t="e">
        <f>D7/J7</f>
        <v>#DIV/0!</v>
      </c>
    </row>
    <row r="8" spans="1:29" s="117" customFormat="1" ht="15.75" thickBot="1">
      <c r="A8" s="408" t="s">
        <v>2547</v>
      </c>
      <c r="B8" s="409"/>
      <c r="C8" s="414" t="s">
        <v>2548</v>
      </c>
      <c r="D8" s="411">
        <v>100</v>
      </c>
      <c r="E8" s="2596"/>
      <c r="F8" s="413">
        <f>SUMIF(61:61,E8,62:62)-SUMIF(61:61,C8,62:62)+100</f>
        <v>0</v>
      </c>
      <c r="G8" s="414"/>
      <c r="H8" s="411">
        <f>SUMIF(61:61,G8,62:62)-SUMIF(61:61,C8,62:62)+100</f>
        <v>0</v>
      </c>
      <c r="I8" s="2596"/>
      <c r="J8" s="411">
        <f>SUMIF(61:61,I8,62:62)-SUMIF(61:61,C8,62:62)+100</f>
        <v>0</v>
      </c>
      <c r="K8" s="2595"/>
      <c r="L8" s="1132"/>
      <c r="M8" s="1133"/>
      <c r="N8" s="1133"/>
      <c r="O8" s="1133"/>
      <c r="P8" s="3223" t="s">
        <v>2549</v>
      </c>
      <c r="Q8" s="3224"/>
      <c r="R8" s="770" t="s">
        <v>23</v>
      </c>
      <c r="S8" s="771">
        <f t="shared" si="0"/>
        <v>0</v>
      </c>
      <c r="T8" s="770" t="s">
        <v>23</v>
      </c>
      <c r="U8" s="771">
        <f t="shared" si="1"/>
        <v>0</v>
      </c>
      <c r="V8" s="770" t="s">
        <v>23</v>
      </c>
      <c r="W8" s="771">
        <f t="shared" si="2"/>
        <v>0</v>
      </c>
      <c r="X8" s="772"/>
      <c r="Y8" s="3223" t="s">
        <v>2549</v>
      </c>
      <c r="Z8" s="3224"/>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5"/>
      <c r="L9" s="1132"/>
      <c r="M9" s="1133"/>
      <c r="N9" s="1133"/>
      <c r="O9" s="1133"/>
      <c r="P9" s="3237" t="s">
        <v>2552</v>
      </c>
      <c r="Q9" s="1794" t="str">
        <f t="shared" ref="Q9:Q15" si="6">B9</f>
        <v>用途</v>
      </c>
      <c r="R9" s="770" t="s">
        <v>17</v>
      </c>
      <c r="S9" s="771">
        <f t="shared" si="0"/>
        <v>100</v>
      </c>
      <c r="T9" s="770" t="s">
        <v>17</v>
      </c>
      <c r="U9" s="771">
        <f t="shared" si="1"/>
        <v>100</v>
      </c>
      <c r="V9" s="770" t="s">
        <v>17</v>
      </c>
      <c r="W9" s="771">
        <f t="shared" si="2"/>
        <v>100</v>
      </c>
      <c r="X9" s="772"/>
      <c r="Y9" s="304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7"/>
      <c r="Q10" s="1794"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7"/>
      <c r="Q11" s="1794" t="str">
        <f t="shared" si="6"/>
        <v>容积率</v>
      </c>
      <c r="R11" s="770" t="s">
        <v>21</v>
      </c>
      <c r="S11" s="771" t="e">
        <f t="shared" si="0"/>
        <v>#N/A</v>
      </c>
      <c r="T11" s="770" t="s">
        <v>21</v>
      </c>
      <c r="U11" s="771" t="e">
        <f t="shared" si="1"/>
        <v>#N/A</v>
      </c>
      <c r="V11" s="770" t="s">
        <v>21</v>
      </c>
      <c r="W11" s="771" t="e">
        <f t="shared" si="2"/>
        <v>#N/A</v>
      </c>
      <c r="X11" s="772"/>
      <c r="Y11" s="3047"/>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2"/>
      <c r="M12" s="1133"/>
      <c r="N12" s="1133"/>
      <c r="O12" s="1133"/>
      <c r="P12" s="3237"/>
      <c r="Q12" s="1794">
        <f t="shared" si="6"/>
        <v>111</v>
      </c>
      <c r="R12" s="770" t="s">
        <v>21</v>
      </c>
      <c r="S12" s="771">
        <f t="shared" si="0"/>
        <v>100</v>
      </c>
      <c r="T12" s="770" t="s">
        <v>21</v>
      </c>
      <c r="U12" s="771">
        <f t="shared" si="1"/>
        <v>100</v>
      </c>
      <c r="V12" s="770" t="s">
        <v>21</v>
      </c>
      <c r="W12" s="771">
        <f t="shared" si="2"/>
        <v>100</v>
      </c>
      <c r="X12" s="772"/>
      <c r="Y12" s="3047"/>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237"/>
      <c r="Q13" s="1794">
        <f t="shared" si="6"/>
        <v>111</v>
      </c>
      <c r="R13" s="770" t="s">
        <v>21</v>
      </c>
      <c r="S13" s="771">
        <f t="shared" si="0"/>
        <v>100</v>
      </c>
      <c r="T13" s="770" t="s">
        <v>21</v>
      </c>
      <c r="U13" s="771">
        <f t="shared" si="1"/>
        <v>100</v>
      </c>
      <c r="V13" s="770" t="s">
        <v>21</v>
      </c>
      <c r="W13" s="771">
        <f t="shared" si="2"/>
        <v>100</v>
      </c>
      <c r="X13" s="772"/>
      <c r="Y13" s="3047"/>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237"/>
      <c r="Q14" s="1794">
        <f t="shared" si="6"/>
        <v>111</v>
      </c>
      <c r="R14" s="770" t="s">
        <v>21</v>
      </c>
      <c r="S14" s="771">
        <f t="shared" si="0"/>
        <v>100</v>
      </c>
      <c r="T14" s="770" t="s">
        <v>21</v>
      </c>
      <c r="U14" s="771">
        <f t="shared" si="1"/>
        <v>100</v>
      </c>
      <c r="V14" s="770" t="s">
        <v>21</v>
      </c>
      <c r="W14" s="771">
        <f t="shared" si="2"/>
        <v>100</v>
      </c>
      <c r="X14" s="772"/>
      <c r="Y14" s="3047"/>
      <c r="Z14" s="55">
        <f t="shared" si="7"/>
        <v>111</v>
      </c>
      <c r="AA14" s="773">
        <f t="shared" si="3"/>
        <v>1</v>
      </c>
      <c r="AB14" s="773">
        <f t="shared" si="4"/>
        <v>1</v>
      </c>
      <c r="AC14" s="773">
        <f t="shared" si="5"/>
        <v>1</v>
      </c>
    </row>
    <row r="15" spans="1:29" ht="99.75">
      <c r="A15" s="440" t="s">
        <v>2556</v>
      </c>
      <c r="B15" s="69" t="s">
        <v>2081</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4" t="s">
        <v>2557</v>
      </c>
      <c r="Q15" s="1809" t="str">
        <f t="shared" si="6"/>
        <v>居住社区成熟度</v>
      </c>
      <c r="R15" s="774" t="s">
        <v>21</v>
      </c>
      <c r="S15" s="775">
        <f t="shared" si="0"/>
        <v>100</v>
      </c>
      <c r="T15" s="774" t="s">
        <v>21</v>
      </c>
      <c r="U15" s="775">
        <f t="shared" si="1"/>
        <v>100</v>
      </c>
      <c r="V15" s="774" t="s">
        <v>21</v>
      </c>
      <c r="W15" s="775">
        <f t="shared" si="2"/>
        <v>100</v>
      </c>
      <c r="X15" s="1812"/>
      <c r="Y15" s="3257" t="s">
        <v>2557</v>
      </c>
      <c r="Z15" s="1813" t="str">
        <f t="shared" si="7"/>
        <v>居住社区成熟度</v>
      </c>
      <c r="AA15" s="1810">
        <f t="shared" si="3"/>
        <v>1</v>
      </c>
      <c r="AB15" s="1810">
        <f t="shared" si="4"/>
        <v>1</v>
      </c>
      <c r="AC15" s="1810">
        <f t="shared" si="5"/>
        <v>1</v>
      </c>
    </row>
    <row r="16" spans="1:29" ht="15">
      <c r="A16" s="428"/>
      <c r="B16" s="446"/>
      <c r="C16" s="447"/>
      <c r="D16" s="448"/>
      <c r="E16" s="2601"/>
      <c r="F16" s="448"/>
      <c r="G16" s="2602"/>
      <c r="H16" s="450"/>
      <c r="I16" s="2602"/>
      <c r="J16" s="448"/>
      <c r="K16" s="2603"/>
      <c r="L16" s="1140"/>
      <c r="M16" s="1131"/>
      <c r="N16" s="1131"/>
      <c r="O16" s="1131"/>
      <c r="P16" s="3265"/>
      <c r="Q16" s="1809"/>
      <c r="R16" s="774"/>
      <c r="S16" s="775"/>
      <c r="T16" s="774"/>
      <c r="U16" s="775"/>
      <c r="V16" s="774"/>
      <c r="W16" s="775"/>
      <c r="X16" s="1812"/>
      <c r="Y16" s="3258"/>
      <c r="Z16" s="1813"/>
      <c r="AA16" s="1810">
        <v>1</v>
      </c>
      <c r="AB16" s="1810">
        <v>1</v>
      </c>
      <c r="AC16" s="1810">
        <v>1</v>
      </c>
    </row>
    <row r="17" spans="1:29" ht="85.5">
      <c r="A17" s="428"/>
      <c r="B17" s="451" t="s">
        <v>2093</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5"/>
      <c r="Q17" s="1809" t="str">
        <f>B17</f>
        <v>交通便捷度</v>
      </c>
      <c r="R17" s="774" t="s">
        <v>21</v>
      </c>
      <c r="S17" s="775">
        <f>F17</f>
        <v>100</v>
      </c>
      <c r="T17" s="774" t="s">
        <v>21</v>
      </c>
      <c r="U17" s="775">
        <f>H17</f>
        <v>100</v>
      </c>
      <c r="V17" s="774" t="s">
        <v>21</v>
      </c>
      <c r="W17" s="775">
        <f>J17</f>
        <v>100</v>
      </c>
      <c r="X17" s="1812"/>
      <c r="Y17" s="3258"/>
      <c r="Z17" s="1813" t="str">
        <f>Q17</f>
        <v>交通便捷度</v>
      </c>
      <c r="AA17" s="1810">
        <f t="shared" si="3"/>
        <v>1</v>
      </c>
      <c r="AB17" s="1810">
        <f t="shared" si="4"/>
        <v>1</v>
      </c>
      <c r="AC17" s="1810">
        <f t="shared" si="5"/>
        <v>1</v>
      </c>
    </row>
    <row r="18" spans="1:29" ht="15">
      <c r="A18" s="428"/>
      <c r="B18" s="456"/>
      <c r="C18" s="2605"/>
      <c r="D18" s="450"/>
      <c r="E18" s="2606"/>
      <c r="F18" s="450"/>
      <c r="G18" s="2607"/>
      <c r="H18" s="448"/>
      <c r="I18" s="2607"/>
      <c r="J18" s="448"/>
      <c r="K18" s="2603"/>
      <c r="L18" s="1140"/>
      <c r="M18" s="1131"/>
      <c r="N18" s="1131"/>
      <c r="O18" s="1131"/>
      <c r="P18" s="3265"/>
      <c r="Q18" s="1809"/>
      <c r="R18" s="774"/>
      <c r="S18" s="775"/>
      <c r="T18" s="774"/>
      <c r="U18" s="775"/>
      <c r="V18" s="774"/>
      <c r="W18" s="775"/>
      <c r="X18" s="1812"/>
      <c r="Y18" s="3258"/>
      <c r="Z18" s="1813"/>
      <c r="AA18" s="1810">
        <v>1</v>
      </c>
      <c r="AB18" s="1810">
        <v>1</v>
      </c>
      <c r="AC18" s="1810">
        <v>1</v>
      </c>
    </row>
    <row r="19" spans="1:29" ht="42.75">
      <c r="A19" s="428"/>
      <c r="B19" s="451" t="s">
        <v>2091</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5"/>
      <c r="Q19" s="1809" t="str">
        <f>B19</f>
        <v>公共配套设施</v>
      </c>
      <c r="R19" s="774" t="s">
        <v>21</v>
      </c>
      <c r="S19" s="775">
        <f>F19</f>
        <v>100</v>
      </c>
      <c r="T19" s="774" t="s">
        <v>21</v>
      </c>
      <c r="U19" s="775">
        <f>H19</f>
        <v>100</v>
      </c>
      <c r="V19" s="774" t="s">
        <v>21</v>
      </c>
      <c r="W19" s="775">
        <f>J19</f>
        <v>100</v>
      </c>
      <c r="X19" s="1812"/>
      <c r="Y19" s="3258"/>
      <c r="Z19" s="1813" t="str">
        <f>Q19</f>
        <v>公共配套设施</v>
      </c>
      <c r="AA19" s="1810">
        <f t="shared" si="3"/>
        <v>1</v>
      </c>
      <c r="AB19" s="1810">
        <f t="shared" si="4"/>
        <v>1</v>
      </c>
      <c r="AC19" s="1810">
        <f t="shared" si="5"/>
        <v>1</v>
      </c>
    </row>
    <row r="20" spans="1:29" ht="15">
      <c r="A20" s="428"/>
      <c r="B20" s="456"/>
      <c r="C20" s="447"/>
      <c r="D20" s="448"/>
      <c r="E20" s="2601"/>
      <c r="F20" s="448"/>
      <c r="G20" s="2602"/>
      <c r="H20" s="448"/>
      <c r="I20" s="2602"/>
      <c r="J20" s="448"/>
      <c r="K20" s="2603"/>
      <c r="L20" s="1140"/>
      <c r="M20" s="1131"/>
      <c r="N20" s="1131"/>
      <c r="O20" s="1131"/>
      <c r="P20" s="3265"/>
      <c r="Q20" s="1809"/>
      <c r="R20" s="774"/>
      <c r="S20" s="775"/>
      <c r="T20" s="774"/>
      <c r="U20" s="775"/>
      <c r="V20" s="774"/>
      <c r="W20" s="775"/>
      <c r="X20" s="1812"/>
      <c r="Y20" s="3258"/>
      <c r="Z20" s="1813"/>
      <c r="AA20" s="1810">
        <v>1</v>
      </c>
      <c r="AB20" s="1810">
        <v>1</v>
      </c>
      <c r="AC20" s="1810">
        <v>1</v>
      </c>
    </row>
    <row r="21" spans="1:29" ht="28.5">
      <c r="A21" s="428"/>
      <c r="B21" s="1384" t="s">
        <v>2094</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5"/>
      <c r="Q21" s="1809" t="str">
        <f>B21</f>
        <v>基础设施水平</v>
      </c>
      <c r="R21" s="774" t="s">
        <v>17</v>
      </c>
      <c r="S21" s="775">
        <f>F21</f>
        <v>100</v>
      </c>
      <c r="T21" s="774" t="s">
        <v>17</v>
      </c>
      <c r="U21" s="775">
        <f>H21</f>
        <v>100</v>
      </c>
      <c r="V21" s="774" t="s">
        <v>17</v>
      </c>
      <c r="W21" s="775">
        <f>J21</f>
        <v>100</v>
      </c>
      <c r="X21" s="1812"/>
      <c r="Y21" s="3258"/>
      <c r="Z21" s="1813" t="str">
        <f>Q21</f>
        <v>基础设施水平</v>
      </c>
      <c r="AA21" s="1810">
        <f t="shared" ref="AA21" si="8">D21/F21</f>
        <v>1</v>
      </c>
      <c r="AB21" s="1810">
        <f t="shared" ref="AB21" si="9">D21/H21</f>
        <v>1</v>
      </c>
      <c r="AC21" s="1810">
        <f t="shared" ref="AC21" si="10">D21/J21</f>
        <v>1</v>
      </c>
    </row>
    <row r="22" spans="1:29" ht="15">
      <c r="A22" s="428"/>
      <c r="B22" s="1384"/>
      <c r="C22" s="2605"/>
      <c r="D22" s="448"/>
      <c r="E22" s="447"/>
      <c r="F22" s="448"/>
      <c r="G22" s="2608"/>
      <c r="H22" s="448"/>
      <c r="I22" s="447"/>
      <c r="J22" s="448"/>
      <c r="K22" s="2609"/>
      <c r="L22" s="1140"/>
      <c r="M22" s="1131"/>
      <c r="N22" s="1131"/>
      <c r="O22" s="1131"/>
      <c r="P22" s="3265"/>
      <c r="Q22" s="1809"/>
      <c r="R22" s="774"/>
      <c r="S22" s="775"/>
      <c r="T22" s="774"/>
      <c r="U22" s="775"/>
      <c r="V22" s="774"/>
      <c r="W22" s="775"/>
      <c r="X22" s="1812"/>
      <c r="Y22" s="3258"/>
      <c r="Z22" s="1813"/>
      <c r="AA22" s="1810">
        <v>1</v>
      </c>
      <c r="AB22" s="1810">
        <v>1</v>
      </c>
      <c r="AC22" s="1810">
        <v>1</v>
      </c>
    </row>
    <row r="23" spans="1:29" ht="57">
      <c r="A23" s="428"/>
      <c r="B23" s="451" t="s">
        <v>2098</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5"/>
      <c r="Q23" s="1809" t="str">
        <f>B23</f>
        <v>自然及人文环境</v>
      </c>
      <c r="R23" s="774" t="s">
        <v>21</v>
      </c>
      <c r="S23" s="775">
        <f>F23</f>
        <v>100</v>
      </c>
      <c r="T23" s="774" t="s">
        <v>21</v>
      </c>
      <c r="U23" s="775">
        <f>H23</f>
        <v>100</v>
      </c>
      <c r="V23" s="774" t="s">
        <v>21</v>
      </c>
      <c r="W23" s="775">
        <f>J23</f>
        <v>100</v>
      </c>
      <c r="X23" s="1812"/>
      <c r="Y23" s="3258"/>
      <c r="Z23" s="1813" t="str">
        <f>Q23</f>
        <v>自然及人文环境</v>
      </c>
      <c r="AA23" s="1810">
        <f>D23/F23</f>
        <v>1</v>
      </c>
      <c r="AB23" s="1810">
        <f>D23/H23</f>
        <v>1</v>
      </c>
      <c r="AC23" s="1810">
        <f>D23/J23</f>
        <v>1</v>
      </c>
    </row>
    <row r="24" spans="1:29" ht="15">
      <c r="A24" s="428"/>
      <c r="B24" s="456"/>
      <c r="C24" s="447"/>
      <c r="D24" s="448"/>
      <c r="E24" s="2601"/>
      <c r="F24" s="448"/>
      <c r="G24" s="2602"/>
      <c r="H24" s="448"/>
      <c r="I24" s="2602"/>
      <c r="J24" s="448"/>
      <c r="K24" s="2603"/>
      <c r="L24" s="1140"/>
      <c r="M24" s="1131"/>
      <c r="N24" s="1131"/>
      <c r="O24" s="1131"/>
      <c r="P24" s="3265"/>
      <c r="Q24" s="1809"/>
      <c r="R24" s="774"/>
      <c r="S24" s="775"/>
      <c r="T24" s="774"/>
      <c r="U24" s="775"/>
      <c r="V24" s="774"/>
      <c r="W24" s="775"/>
      <c r="X24" s="1812"/>
      <c r="Y24" s="3258"/>
      <c r="Z24" s="1813"/>
      <c r="AA24" s="1810">
        <v>1</v>
      </c>
      <c r="AB24" s="1810">
        <v>1</v>
      </c>
      <c r="AC24" s="1810">
        <v>1</v>
      </c>
    </row>
    <row r="25" spans="1:29" ht="15">
      <c r="A25" s="428"/>
      <c r="B25" s="422" t="s">
        <v>2558</v>
      </c>
      <c r="C25" s="460"/>
      <c r="D25" s="435">
        <v>100</v>
      </c>
      <c r="E25" s="2610"/>
      <c r="F25" s="435">
        <f>SUMIF(86:86,E25,87:87)-SUMIF(86:86,C25,87:87)+100</f>
        <v>100</v>
      </c>
      <c r="G25" s="2611"/>
      <c r="H25" s="435">
        <f>SUMIF(86:86,G25,87:87)-SUMIF(86:86,C25,87:87)+100</f>
        <v>100</v>
      </c>
      <c r="I25" s="2611"/>
      <c r="J25" s="435">
        <f>SUMIF(86:86,I25,87:87)-SUMIF(86:86,C25,87:87)+100</f>
        <v>100</v>
      </c>
      <c r="K25" s="426"/>
      <c r="L25" s="1140"/>
      <c r="M25" s="1131"/>
      <c r="N25" s="1131"/>
      <c r="O25" s="1131"/>
      <c r="P25" s="3265"/>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58"/>
      <c r="Z25" s="1813" t="str">
        <f>Q25</f>
        <v>楼层-1</v>
      </c>
      <c r="AA25" s="1810">
        <f t="shared" ref="AA25:AA46" si="15">D25/F25</f>
        <v>1</v>
      </c>
      <c r="AB25" s="1810">
        <f t="shared" ref="AB25:AB46" si="16">D25/H25</f>
        <v>1</v>
      </c>
      <c r="AC25" s="1810">
        <f t="shared" ref="AC25:AC46" si="17">D25/J25</f>
        <v>1</v>
      </c>
    </row>
    <row r="26" spans="1:29" ht="15">
      <c r="A26" s="428"/>
      <c r="B26" s="422" t="s">
        <v>2559</v>
      </c>
      <c r="C26" s="460"/>
      <c r="D26" s="435">
        <v>100</v>
      </c>
      <c r="E26" s="2610"/>
      <c r="F26" s="435">
        <f>SUMIF(88:88,E26,89:89)-SUMIF(88:88,C26,89:89)+100</f>
        <v>100</v>
      </c>
      <c r="G26" s="2611"/>
      <c r="H26" s="435">
        <f>SUMIF(88:88,G26,89:89)-SUMIF(88:88,C26,89:89)+100</f>
        <v>100</v>
      </c>
      <c r="I26" s="2611"/>
      <c r="J26" s="435">
        <f>SUMIF(88:88,I26,89:89)-SUMIF(88:88,C26,89:89)+100</f>
        <v>100</v>
      </c>
      <c r="K26" s="426"/>
      <c r="L26" s="1140"/>
      <c r="M26" s="1131"/>
      <c r="N26" s="1131"/>
      <c r="O26" s="1131"/>
      <c r="P26" s="3265"/>
      <c r="Q26" s="1809" t="str">
        <f t="shared" si="11"/>
        <v>朝向</v>
      </c>
      <c r="R26" s="774" t="s">
        <v>21</v>
      </c>
      <c r="S26" s="775">
        <f t="shared" si="12"/>
        <v>100</v>
      </c>
      <c r="T26" s="774" t="s">
        <v>21</v>
      </c>
      <c r="U26" s="775">
        <f t="shared" si="13"/>
        <v>100</v>
      </c>
      <c r="V26" s="774" t="s">
        <v>21</v>
      </c>
      <c r="W26" s="775">
        <f t="shared" si="14"/>
        <v>100</v>
      </c>
      <c r="X26" s="1812"/>
      <c r="Y26" s="3258"/>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265"/>
      <c r="Q27" s="1794">
        <f t="shared" si="11"/>
        <v>111</v>
      </c>
      <c r="R27" s="770" t="s">
        <v>21</v>
      </c>
      <c r="S27" s="771">
        <f t="shared" si="12"/>
        <v>100</v>
      </c>
      <c r="T27" s="770" t="s">
        <v>21</v>
      </c>
      <c r="U27" s="771">
        <f t="shared" si="13"/>
        <v>100</v>
      </c>
      <c r="V27" s="770" t="s">
        <v>21</v>
      </c>
      <c r="W27" s="771">
        <f t="shared" si="14"/>
        <v>100</v>
      </c>
      <c r="X27" s="772"/>
      <c r="Y27" s="3258"/>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265"/>
      <c r="Q28" s="1809">
        <f t="shared" si="11"/>
        <v>111</v>
      </c>
      <c r="R28" s="774" t="s">
        <v>21</v>
      </c>
      <c r="S28" s="775">
        <f t="shared" si="12"/>
        <v>100</v>
      </c>
      <c r="T28" s="774" t="s">
        <v>21</v>
      </c>
      <c r="U28" s="775">
        <f t="shared" si="13"/>
        <v>100</v>
      </c>
      <c r="V28" s="774" t="s">
        <v>21</v>
      </c>
      <c r="W28" s="775">
        <f t="shared" si="14"/>
        <v>100</v>
      </c>
      <c r="X28" s="1812"/>
      <c r="Y28" s="3258"/>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265"/>
      <c r="Q29" s="1809">
        <f t="shared" si="11"/>
        <v>111</v>
      </c>
      <c r="R29" s="774" t="s">
        <v>21</v>
      </c>
      <c r="S29" s="775">
        <f t="shared" si="12"/>
        <v>100</v>
      </c>
      <c r="T29" s="774" t="s">
        <v>21</v>
      </c>
      <c r="U29" s="775">
        <f t="shared" si="13"/>
        <v>100</v>
      </c>
      <c r="V29" s="774" t="s">
        <v>21</v>
      </c>
      <c r="W29" s="775">
        <f t="shared" si="14"/>
        <v>100</v>
      </c>
      <c r="X29" s="1812"/>
      <c r="Y29" s="3258"/>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265"/>
      <c r="Q30" s="1809">
        <f t="shared" si="11"/>
        <v>111</v>
      </c>
      <c r="R30" s="774" t="s">
        <v>21</v>
      </c>
      <c r="S30" s="775">
        <f t="shared" si="12"/>
        <v>100</v>
      </c>
      <c r="T30" s="774" t="s">
        <v>21</v>
      </c>
      <c r="U30" s="775">
        <f t="shared" si="13"/>
        <v>100</v>
      </c>
      <c r="V30" s="774" t="s">
        <v>21</v>
      </c>
      <c r="W30" s="775">
        <f t="shared" si="14"/>
        <v>100</v>
      </c>
      <c r="X30" s="1812"/>
      <c r="Y30" s="3258"/>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265"/>
      <c r="Q31" s="1809">
        <f t="shared" si="11"/>
        <v>111</v>
      </c>
      <c r="R31" s="774" t="s">
        <v>21</v>
      </c>
      <c r="S31" s="775">
        <f t="shared" si="12"/>
        <v>100</v>
      </c>
      <c r="T31" s="774" t="s">
        <v>21</v>
      </c>
      <c r="U31" s="775">
        <f t="shared" si="13"/>
        <v>100</v>
      </c>
      <c r="V31" s="774" t="s">
        <v>21</v>
      </c>
      <c r="W31" s="775">
        <f t="shared" si="14"/>
        <v>100</v>
      </c>
      <c r="X31" s="1812"/>
      <c r="Y31" s="3258"/>
      <c r="Z31" s="1813">
        <f t="shared" si="18"/>
        <v>111</v>
      </c>
      <c r="AA31" s="1810">
        <f t="shared" si="15"/>
        <v>1</v>
      </c>
      <c r="AB31" s="1810">
        <f t="shared" si="16"/>
        <v>1</v>
      </c>
      <c r="AC31" s="1810">
        <f t="shared" si="17"/>
        <v>1</v>
      </c>
    </row>
    <row r="32" spans="1:29" ht="15">
      <c r="A32" s="440" t="s">
        <v>2560</v>
      </c>
      <c r="B32" s="71" t="s">
        <v>2561</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0"/>
      <c r="M32" s="1131"/>
      <c r="N32" s="1131"/>
      <c r="O32" s="1131"/>
      <c r="P32" s="3259" t="s">
        <v>2562</v>
      </c>
      <c r="Q32" s="1809" t="str">
        <f t="shared" si="11"/>
        <v>建筑类型</v>
      </c>
      <c r="R32" s="774" t="s">
        <v>21</v>
      </c>
      <c r="S32" s="775">
        <f t="shared" si="12"/>
        <v>100</v>
      </c>
      <c r="T32" s="774" t="s">
        <v>21</v>
      </c>
      <c r="U32" s="775">
        <f t="shared" si="13"/>
        <v>100</v>
      </c>
      <c r="V32" s="774" t="s">
        <v>21</v>
      </c>
      <c r="W32" s="775">
        <f t="shared" si="14"/>
        <v>100</v>
      </c>
      <c r="X32" s="1812"/>
      <c r="Y32" s="3262" t="s">
        <v>2562</v>
      </c>
      <c r="Z32" s="1813" t="str">
        <f t="shared" si="18"/>
        <v>建筑类型</v>
      </c>
      <c r="AA32" s="1810">
        <f t="shared" si="15"/>
        <v>1</v>
      </c>
      <c r="AB32" s="1810">
        <f t="shared" si="16"/>
        <v>1</v>
      </c>
      <c r="AC32" s="1810">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8"/>
      <c r="M33" s="1141"/>
      <c r="N33" s="1141"/>
      <c r="O33" s="1141"/>
      <c r="P33" s="3260"/>
      <c r="Q33" s="776" t="str">
        <f t="shared" si="11"/>
        <v>项目建筑规模</v>
      </c>
      <c r="R33" s="777" t="s">
        <v>21</v>
      </c>
      <c r="S33" s="778" t="e">
        <f t="shared" si="12"/>
        <v>#N/A</v>
      </c>
      <c r="T33" s="777" t="s">
        <v>21</v>
      </c>
      <c r="U33" s="778" t="e">
        <f t="shared" si="13"/>
        <v>#N/A</v>
      </c>
      <c r="V33" s="777" t="s">
        <v>21</v>
      </c>
      <c r="W33" s="778" t="e">
        <f t="shared" si="14"/>
        <v>#N/A</v>
      </c>
      <c r="X33" s="779"/>
      <c r="Y33" s="3262"/>
      <c r="Z33" s="780" t="str">
        <f t="shared" si="18"/>
        <v>项目建筑规模</v>
      </c>
      <c r="AA33" s="1810" t="e">
        <f t="shared" si="15"/>
        <v>#N/A</v>
      </c>
      <c r="AB33" s="1810" t="e">
        <f t="shared" si="16"/>
        <v>#N/A</v>
      </c>
      <c r="AC33" s="1810" t="e">
        <f t="shared" si="17"/>
        <v>#N/A</v>
      </c>
    </row>
    <row r="34" spans="1:29" ht="15">
      <c r="A34" s="472"/>
      <c r="B34" s="422" t="s">
        <v>2564</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0"/>
      <c r="M34" s="1131"/>
      <c r="N34" s="1131"/>
      <c r="O34" s="1131"/>
      <c r="P34" s="3260"/>
      <c r="Q34" s="1809" t="str">
        <f t="shared" si="11"/>
        <v>建筑结构</v>
      </c>
      <c r="R34" s="774" t="s">
        <v>21</v>
      </c>
      <c r="S34" s="775">
        <f t="shared" si="12"/>
        <v>100</v>
      </c>
      <c r="T34" s="774" t="s">
        <v>21</v>
      </c>
      <c r="U34" s="775">
        <f t="shared" si="13"/>
        <v>100</v>
      </c>
      <c r="V34" s="774" t="s">
        <v>21</v>
      </c>
      <c r="W34" s="775">
        <f t="shared" si="14"/>
        <v>100</v>
      </c>
      <c r="X34" s="1812"/>
      <c r="Y34" s="3262"/>
      <c r="Z34" s="1813" t="str">
        <f t="shared" si="18"/>
        <v>建筑结构</v>
      </c>
      <c r="AA34" s="1810">
        <f t="shared" si="15"/>
        <v>1</v>
      </c>
      <c r="AB34" s="1810">
        <f t="shared" si="16"/>
        <v>1</v>
      </c>
      <c r="AC34" s="1810">
        <f t="shared" si="17"/>
        <v>1</v>
      </c>
    </row>
    <row r="35" spans="1:29" ht="15">
      <c r="A35" s="472"/>
      <c r="B35" s="422" t="s">
        <v>2565</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0"/>
      <c r="M35" s="1131"/>
      <c r="N35" s="1131"/>
      <c r="O35" s="1131"/>
      <c r="P35" s="3260"/>
      <c r="Q35" s="1809" t="str">
        <f t="shared" si="11"/>
        <v>建筑品质</v>
      </c>
      <c r="R35" s="774" t="s">
        <v>21</v>
      </c>
      <c r="S35" s="775">
        <f t="shared" si="12"/>
        <v>100</v>
      </c>
      <c r="T35" s="774" t="s">
        <v>21</v>
      </c>
      <c r="U35" s="775">
        <f t="shared" si="13"/>
        <v>100</v>
      </c>
      <c r="V35" s="774" t="s">
        <v>21</v>
      </c>
      <c r="W35" s="775">
        <f t="shared" si="14"/>
        <v>100</v>
      </c>
      <c r="X35" s="1812"/>
      <c r="Y35" s="3262"/>
      <c r="Z35" s="1813" t="str">
        <f t="shared" si="18"/>
        <v>建筑品质</v>
      </c>
      <c r="AA35" s="1810">
        <f t="shared" si="15"/>
        <v>1</v>
      </c>
      <c r="AB35" s="1810">
        <f t="shared" si="16"/>
        <v>1</v>
      </c>
      <c r="AC35" s="1810">
        <f t="shared" si="17"/>
        <v>1</v>
      </c>
    </row>
    <row r="36" spans="1:29" ht="15">
      <c r="A36" s="472"/>
      <c r="B36" s="422" t="s">
        <v>2566</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0"/>
      <c r="M36" s="1131"/>
      <c r="N36" s="1131"/>
      <c r="O36" s="1131"/>
      <c r="P36" s="3260"/>
      <c r="Q36" s="1809" t="str">
        <f t="shared" si="11"/>
        <v>公共部分装修</v>
      </c>
      <c r="R36" s="774" t="s">
        <v>21</v>
      </c>
      <c r="S36" s="775">
        <f t="shared" si="12"/>
        <v>100</v>
      </c>
      <c r="T36" s="774" t="s">
        <v>21</v>
      </c>
      <c r="U36" s="775">
        <f t="shared" si="13"/>
        <v>100</v>
      </c>
      <c r="V36" s="774" t="s">
        <v>21</v>
      </c>
      <c r="W36" s="775">
        <f t="shared" si="14"/>
        <v>100</v>
      </c>
      <c r="X36" s="1812"/>
      <c r="Y36" s="3262"/>
      <c r="Z36" s="1813" t="str">
        <f t="shared" si="18"/>
        <v>公共部分装修</v>
      </c>
      <c r="AA36" s="1810">
        <f t="shared" si="15"/>
        <v>1</v>
      </c>
      <c r="AB36" s="1810">
        <f t="shared" si="16"/>
        <v>1</v>
      </c>
      <c r="AC36" s="1810">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60"/>
      <c r="Q37" s="1794" t="str">
        <f t="shared" si="11"/>
        <v>成新度</v>
      </c>
      <c r="R37" s="770" t="s">
        <v>21</v>
      </c>
      <c r="S37" s="771" t="e">
        <f t="shared" si="12"/>
        <v>#N/A</v>
      </c>
      <c r="T37" s="770" t="s">
        <v>21</v>
      </c>
      <c r="U37" s="771" t="e">
        <f t="shared" si="13"/>
        <v>#N/A</v>
      </c>
      <c r="V37" s="770" t="s">
        <v>21</v>
      </c>
      <c r="W37" s="771" t="e">
        <f t="shared" si="14"/>
        <v>#N/A</v>
      </c>
      <c r="X37" s="772"/>
      <c r="Y37" s="3262"/>
      <c r="Z37" s="55" t="str">
        <f t="shared" si="18"/>
        <v>成新度</v>
      </c>
      <c r="AA37" s="773" t="e">
        <f t="shared" si="15"/>
        <v>#N/A</v>
      </c>
      <c r="AB37" s="773" t="e">
        <f t="shared" si="16"/>
        <v>#N/A</v>
      </c>
      <c r="AC37" s="773" t="e">
        <f t="shared" si="17"/>
        <v>#N/A</v>
      </c>
    </row>
    <row r="38" spans="1:29" ht="15">
      <c r="A38" s="472"/>
      <c r="B38" s="422" t="s">
        <v>2568</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0"/>
      <c r="M38" s="1131"/>
      <c r="N38" s="1131"/>
      <c r="O38" s="1131"/>
      <c r="P38" s="3260" t="s">
        <v>2562</v>
      </c>
      <c r="Q38" s="1809" t="str">
        <f t="shared" si="11"/>
        <v>物业管理</v>
      </c>
      <c r="R38" s="774" t="s">
        <v>21</v>
      </c>
      <c r="S38" s="775">
        <f t="shared" si="12"/>
        <v>100</v>
      </c>
      <c r="T38" s="774" t="s">
        <v>21</v>
      </c>
      <c r="U38" s="775">
        <f t="shared" si="13"/>
        <v>100</v>
      </c>
      <c r="V38" s="774" t="s">
        <v>21</v>
      </c>
      <c r="W38" s="775">
        <f t="shared" si="14"/>
        <v>100</v>
      </c>
      <c r="X38" s="1812"/>
      <c r="Y38" s="3262" t="s">
        <v>2562</v>
      </c>
      <c r="Z38" s="1813" t="str">
        <f t="shared" si="18"/>
        <v>物业管理</v>
      </c>
      <c r="AA38" s="1810">
        <f t="shared" si="15"/>
        <v>1</v>
      </c>
      <c r="AB38" s="1810">
        <f t="shared" si="16"/>
        <v>1</v>
      </c>
      <c r="AC38" s="1810">
        <f t="shared" si="17"/>
        <v>1</v>
      </c>
    </row>
    <row r="39" spans="1:29" ht="15">
      <c r="A39" s="472"/>
      <c r="B39" s="422" t="s">
        <v>2569</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0"/>
      <c r="M39" s="1131"/>
      <c r="N39" s="1131"/>
      <c r="O39" s="1131"/>
      <c r="P39" s="3260"/>
      <c r="Q39" s="1809" t="str">
        <f t="shared" si="11"/>
        <v>市政基础设施</v>
      </c>
      <c r="R39" s="774" t="s">
        <v>21</v>
      </c>
      <c r="S39" s="775">
        <f t="shared" si="12"/>
        <v>100</v>
      </c>
      <c r="T39" s="774" t="s">
        <v>21</v>
      </c>
      <c r="U39" s="775">
        <f t="shared" si="13"/>
        <v>100</v>
      </c>
      <c r="V39" s="774" t="s">
        <v>21</v>
      </c>
      <c r="W39" s="775">
        <f t="shared" si="14"/>
        <v>100</v>
      </c>
      <c r="X39" s="1812"/>
      <c r="Y39" s="3262"/>
      <c r="Z39" s="1813" t="str">
        <f t="shared" si="18"/>
        <v>市政基础设施</v>
      </c>
      <c r="AA39" s="1810">
        <f t="shared" si="15"/>
        <v>1</v>
      </c>
      <c r="AB39" s="1810">
        <f t="shared" si="16"/>
        <v>1</v>
      </c>
      <c r="AC39" s="1810">
        <f t="shared" si="17"/>
        <v>1</v>
      </c>
    </row>
    <row r="40" spans="1:29" ht="15">
      <c r="A40" s="472"/>
      <c r="B40" s="422" t="s">
        <v>2570</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0"/>
      <c r="M40" s="1131"/>
      <c r="N40" s="1131"/>
      <c r="O40" s="1131"/>
      <c r="P40" s="3260"/>
      <c r="Q40" s="1809" t="str">
        <f t="shared" si="11"/>
        <v>房型</v>
      </c>
      <c r="R40" s="774" t="s">
        <v>21</v>
      </c>
      <c r="S40" s="775">
        <f t="shared" si="12"/>
        <v>100</v>
      </c>
      <c r="T40" s="774" t="s">
        <v>21</v>
      </c>
      <c r="U40" s="775">
        <f t="shared" si="13"/>
        <v>100</v>
      </c>
      <c r="V40" s="774" t="s">
        <v>21</v>
      </c>
      <c r="W40" s="775">
        <f t="shared" si="14"/>
        <v>100</v>
      </c>
      <c r="X40" s="1812"/>
      <c r="Y40" s="3262"/>
      <c r="Z40" s="1813" t="str">
        <f t="shared" si="18"/>
        <v>房型</v>
      </c>
      <c r="AA40" s="1810">
        <f t="shared" si="15"/>
        <v>1</v>
      </c>
      <c r="AB40" s="1810">
        <f t="shared" si="16"/>
        <v>1</v>
      </c>
      <c r="AC40" s="1810">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8"/>
      <c r="M41" s="1141"/>
      <c r="N41" s="1141"/>
      <c r="O41" s="1141"/>
      <c r="P41" s="3260"/>
      <c r="Q41" s="776" t="str">
        <f t="shared" si="11"/>
        <v>单套/主力户型建筑面积</v>
      </c>
      <c r="R41" s="777" t="s">
        <v>21</v>
      </c>
      <c r="S41" s="778">
        <f t="shared" si="12"/>
        <v>100</v>
      </c>
      <c r="T41" s="777" t="s">
        <v>21</v>
      </c>
      <c r="U41" s="778">
        <f t="shared" si="13"/>
        <v>100</v>
      </c>
      <c r="V41" s="777" t="s">
        <v>21</v>
      </c>
      <c r="W41" s="778">
        <f t="shared" si="14"/>
        <v>100</v>
      </c>
      <c r="X41" s="779"/>
      <c r="Y41" s="3262"/>
      <c r="Z41" s="780" t="str">
        <f t="shared" si="18"/>
        <v>单套/主力户型建筑面积</v>
      </c>
      <c r="AA41" s="1810">
        <f t="shared" si="15"/>
        <v>1</v>
      </c>
      <c r="AB41" s="1810">
        <f t="shared" si="16"/>
        <v>1</v>
      </c>
      <c r="AC41" s="1810">
        <f t="shared" si="17"/>
        <v>1</v>
      </c>
    </row>
    <row r="42" spans="1:29" ht="15">
      <c r="A42" s="472"/>
      <c r="B42" s="422" t="s">
        <v>2572</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0"/>
      <c r="M42" s="1131"/>
      <c r="N42" s="1131"/>
      <c r="O42" s="1131"/>
      <c r="P42" s="3260"/>
      <c r="Q42" s="1809" t="str">
        <f t="shared" si="11"/>
        <v>内部装修</v>
      </c>
      <c r="R42" s="774" t="s">
        <v>21</v>
      </c>
      <c r="S42" s="775">
        <f t="shared" si="12"/>
        <v>100</v>
      </c>
      <c r="T42" s="774" t="s">
        <v>21</v>
      </c>
      <c r="U42" s="775">
        <f t="shared" si="13"/>
        <v>100</v>
      </c>
      <c r="V42" s="774" t="s">
        <v>21</v>
      </c>
      <c r="W42" s="775">
        <f t="shared" si="14"/>
        <v>100</v>
      </c>
      <c r="X42" s="1812"/>
      <c r="Y42" s="3262"/>
      <c r="Z42" s="1813" t="str">
        <f t="shared" si="18"/>
        <v>内部装修</v>
      </c>
      <c r="AA42" s="1810">
        <f t="shared" si="15"/>
        <v>1</v>
      </c>
      <c r="AB42" s="1810">
        <f t="shared" si="16"/>
        <v>1</v>
      </c>
      <c r="AC42" s="1810">
        <f t="shared" si="17"/>
        <v>1</v>
      </c>
    </row>
    <row r="43" spans="1:29" ht="15">
      <c r="A43" s="472"/>
      <c r="B43" s="422" t="s">
        <v>2573</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0"/>
      <c r="M43" s="1131"/>
      <c r="N43" s="1131"/>
      <c r="O43" s="1131"/>
      <c r="P43" s="3260"/>
      <c r="Q43" s="1809" t="str">
        <f t="shared" si="11"/>
        <v>内部装修维护情况</v>
      </c>
      <c r="R43" s="774" t="s">
        <v>21</v>
      </c>
      <c r="S43" s="775">
        <f t="shared" si="12"/>
        <v>100</v>
      </c>
      <c r="T43" s="774" t="s">
        <v>21</v>
      </c>
      <c r="U43" s="775">
        <f t="shared" si="13"/>
        <v>100</v>
      </c>
      <c r="V43" s="774" t="s">
        <v>21</v>
      </c>
      <c r="W43" s="775">
        <f t="shared" si="14"/>
        <v>100</v>
      </c>
      <c r="X43" s="1812"/>
      <c r="Y43" s="3262"/>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260"/>
      <c r="Q44" s="1794">
        <f t="shared" si="11"/>
        <v>111</v>
      </c>
      <c r="R44" s="770" t="s">
        <v>21</v>
      </c>
      <c r="S44" s="771">
        <f t="shared" si="12"/>
        <v>100</v>
      </c>
      <c r="T44" s="770" t="s">
        <v>21</v>
      </c>
      <c r="U44" s="771">
        <f t="shared" si="13"/>
        <v>100</v>
      </c>
      <c r="V44" s="770" t="s">
        <v>21</v>
      </c>
      <c r="W44" s="771">
        <f t="shared" si="14"/>
        <v>100</v>
      </c>
      <c r="X44" s="772"/>
      <c r="Y44" s="326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260"/>
      <c r="Q45" s="1809">
        <f t="shared" si="11"/>
        <v>111</v>
      </c>
      <c r="R45" s="774" t="s">
        <v>21</v>
      </c>
      <c r="S45" s="775">
        <f t="shared" si="12"/>
        <v>100</v>
      </c>
      <c r="T45" s="774" t="s">
        <v>21</v>
      </c>
      <c r="U45" s="775">
        <f t="shared" si="13"/>
        <v>100</v>
      </c>
      <c r="V45" s="774" t="s">
        <v>21</v>
      </c>
      <c r="W45" s="775">
        <f t="shared" si="14"/>
        <v>100</v>
      </c>
      <c r="X45" s="1812"/>
      <c r="Y45" s="3262"/>
      <c r="Z45" s="1813">
        <f t="shared" si="18"/>
        <v>111</v>
      </c>
      <c r="AA45" s="1810">
        <f t="shared" si="15"/>
        <v>1</v>
      </c>
      <c r="AB45" s="1810">
        <f t="shared" si="16"/>
        <v>1</v>
      </c>
      <c r="AC45" s="1810">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261"/>
      <c r="Q46" s="1809">
        <f t="shared" si="11"/>
        <v>111</v>
      </c>
      <c r="R46" s="774" t="s">
        <v>20</v>
      </c>
      <c r="S46" s="775">
        <f t="shared" si="12"/>
        <v>100</v>
      </c>
      <c r="T46" s="774" t="s">
        <v>20</v>
      </c>
      <c r="U46" s="775">
        <f t="shared" si="13"/>
        <v>100</v>
      </c>
      <c r="V46" s="774" t="s">
        <v>20</v>
      </c>
      <c r="W46" s="775">
        <f t="shared" si="14"/>
        <v>100</v>
      </c>
      <c r="X46" s="1812"/>
      <c r="Y46" s="3263"/>
      <c r="Z46" s="1813">
        <f t="shared" si="18"/>
        <v>111</v>
      </c>
      <c r="AA46" s="1810">
        <f t="shared" si="15"/>
        <v>1</v>
      </c>
      <c r="AB46" s="1810">
        <f t="shared" si="16"/>
        <v>1</v>
      </c>
      <c r="AC46" s="1810">
        <f t="shared" si="17"/>
        <v>1</v>
      </c>
    </row>
    <row r="47" spans="1:29" ht="15">
      <c r="A47" s="479" t="s">
        <v>2574</v>
      </c>
      <c r="B47" s="480"/>
      <c r="C47" s="1407" t="s">
        <v>19</v>
      </c>
      <c r="D47" s="1408"/>
      <c r="E47" s="1409"/>
      <c r="F47" s="1410"/>
      <c r="G47" s="1411"/>
      <c r="H47" s="1412"/>
      <c r="I47" s="1409"/>
      <c r="J47" s="1412"/>
      <c r="K47" s="2618"/>
      <c r="L47" s="1143"/>
      <c r="M47" s="1144"/>
      <c r="N47" s="1131"/>
      <c r="O47" s="1144"/>
      <c r="P47" s="3255" t="str">
        <f>A47</f>
        <v>成交单价（元/平方米）</v>
      </c>
      <c r="Q47" s="3255"/>
      <c r="R47" s="3256">
        <f>E47</f>
        <v>0</v>
      </c>
      <c r="S47" s="3256"/>
      <c r="T47" s="3256">
        <f>G47</f>
        <v>0</v>
      </c>
      <c r="U47" s="3256"/>
      <c r="V47" s="3256">
        <f>I47</f>
        <v>0</v>
      </c>
      <c r="W47" s="3256"/>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19"/>
      <c r="L48" s="1143"/>
      <c r="M48" s="1144"/>
      <c r="N48" s="1144"/>
      <c r="O48" s="1144"/>
      <c r="P48" s="3255" t="str">
        <f>A48</f>
        <v>比较价值（元/平方米）</v>
      </c>
      <c r="Q48" s="3255"/>
      <c r="R48" s="3256" t="e">
        <f>IF(F1="售价",ROUND(PRODUCT(R47,AA7:AA46),0),ROUND(PRODUCT(R47,AA7:AA46),1))</f>
        <v>#DIV/0!</v>
      </c>
      <c r="S48" s="3256"/>
      <c r="T48" s="3256" t="e">
        <f>IF(F1="售价",ROUND(PRODUCT(T47,AB7:AB46),0),ROUND(PRODUCT(T47,AB7:AB46),1))</f>
        <v>#DIV/0!</v>
      </c>
      <c r="U48" s="3256"/>
      <c r="V48" s="3256" t="e">
        <f>IF(F1="售价",ROUND(PRODUCT(V47,AC7:AC46),0),ROUND(PRODUCT(V47,AC7:AC46),1))</f>
        <v>#DIV/0!</v>
      </c>
      <c r="W48" s="3256"/>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20"/>
      <c r="L49" s="1143"/>
      <c r="M49" s="1144"/>
      <c r="N49" s="1144"/>
      <c r="O49" s="1144"/>
      <c r="P49" s="3252" t="str">
        <f>A49</f>
        <v>估价对象XX用房的比较价值（楼面单价，元/平方米）</v>
      </c>
      <c r="Q49" s="3253"/>
      <c r="R49" s="3254" t="e">
        <f>IF(F1="售价",ROUND(AVERAGE(R48:V48),0),ROUND(AVERAGE(R48:V48),1))</f>
        <v>#DIV/0!</v>
      </c>
      <c r="S49" s="3254"/>
      <c r="T49" s="3254"/>
      <c r="U49" s="3254"/>
      <c r="V49" s="3254"/>
      <c r="W49" s="325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2"/>
    </row>
    <row r="55" spans="1:29" s="502"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23"/>
      <c r="Q57" s="504"/>
    </row>
    <row r="58" spans="1:29" s="508" customFormat="1" ht="15">
      <c r="A58" s="505" t="s">
        <v>2581</v>
      </c>
      <c r="B58" s="506"/>
      <c r="C58" s="1576" t="str">
        <f>YEAR(C7)&amp;"-"&amp;MONTH(C7)</f>
        <v>2020-3</v>
      </c>
      <c r="D58" s="1575">
        <f>EDATE(C58,-1)</f>
        <v>43862</v>
      </c>
      <c r="E58" s="1575">
        <f>EDATE(D58,-1)</f>
        <v>43831</v>
      </c>
      <c r="F58" s="1575">
        <f t="shared" ref="F58:O58" si="19">EDATE(E58,-1)</f>
        <v>43800</v>
      </c>
      <c r="G58" s="1575">
        <f t="shared" si="19"/>
        <v>43770</v>
      </c>
      <c r="H58" s="1575">
        <f t="shared" si="19"/>
        <v>43739</v>
      </c>
      <c r="I58" s="1575">
        <f t="shared" si="19"/>
        <v>43709</v>
      </c>
      <c r="J58" s="1575">
        <f t="shared" si="19"/>
        <v>43678</v>
      </c>
      <c r="K58" s="1575">
        <f t="shared" si="19"/>
        <v>43647</v>
      </c>
      <c r="L58" s="1575">
        <f t="shared" si="19"/>
        <v>43617</v>
      </c>
      <c r="M58" s="1575">
        <f t="shared" si="19"/>
        <v>43586</v>
      </c>
      <c r="N58" s="1575">
        <f t="shared" si="19"/>
        <v>43556</v>
      </c>
      <c r="O58" s="1575">
        <f t="shared" si="19"/>
        <v>43525</v>
      </c>
      <c r="P58" s="1570"/>
    </row>
    <row r="59" spans="1:29" s="117" customFormat="1" ht="15">
      <c r="A59" s="509"/>
      <c r="B59" s="2624"/>
      <c r="C59" s="1573">
        <v>100</v>
      </c>
      <c r="D59" s="511"/>
      <c r="E59" s="512"/>
      <c r="F59" s="512"/>
      <c r="G59" s="512"/>
      <c r="H59" s="512"/>
      <c r="I59" s="512"/>
      <c r="J59" s="512"/>
      <c r="K59" s="512"/>
      <c r="L59" s="512"/>
      <c r="M59" s="513"/>
      <c r="N59" s="512"/>
      <c r="O59" s="513"/>
      <c r="P59" s="2625"/>
    </row>
    <row r="60" spans="1:29" s="117" customFormat="1" ht="15.75" thickBot="1">
      <c r="A60" s="515" t="s">
        <v>2582</v>
      </c>
      <c r="B60" s="516"/>
      <c r="C60" s="517"/>
      <c r="D60" s="518"/>
      <c r="E60" s="518"/>
      <c r="F60" s="518"/>
      <c r="G60" s="518"/>
      <c r="H60" s="518"/>
      <c r="I60" s="518"/>
      <c r="J60" s="518"/>
      <c r="K60" s="518"/>
      <c r="L60" s="518"/>
      <c r="M60" s="519"/>
      <c r="N60" s="518"/>
      <c r="O60" s="519"/>
      <c r="P60" s="2625"/>
      <c r="Q60" s="504"/>
    </row>
    <row r="61" spans="1:29" s="117" customFormat="1" ht="15">
      <c r="A61" s="521" t="s">
        <v>2583</v>
      </c>
      <c r="B61" s="510"/>
      <c r="C61" s="522" t="s">
        <v>2584</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2585</v>
      </c>
      <c r="B63" s="528" t="s">
        <v>2551</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7"/>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60"/>
      <c r="E73" s="560"/>
      <c r="F73" s="560"/>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2094</v>
      </c>
      <c r="C82" s="539" t="s">
        <v>2601</v>
      </c>
      <c r="D82" s="539" t="s">
        <v>2602</v>
      </c>
      <c r="E82" s="539" t="s">
        <v>2603</v>
      </c>
      <c r="F82" s="539" t="s">
        <v>2604</v>
      </c>
      <c r="G82" s="539" t="s">
        <v>2605</v>
      </c>
      <c r="H82" s="539"/>
      <c r="I82" s="539"/>
      <c r="J82" s="539"/>
      <c r="K82" s="539"/>
      <c r="L82" s="539"/>
      <c r="M82" s="1382"/>
      <c r="N82" s="1153"/>
      <c r="O82" s="1153"/>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7"/>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2607</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7"/>
      <c r="Q87" s="504"/>
    </row>
    <row r="88" spans="1:17" s="117" customFormat="1" ht="15.75" thickTop="1">
      <c r="A88" s="579"/>
      <c r="B88" s="538" t="s">
        <v>2608</v>
      </c>
      <c r="C88" s="554"/>
      <c r="D88" s="554"/>
      <c r="E88" s="554"/>
      <c r="F88" s="2632"/>
      <c r="G88" s="554"/>
      <c r="H88" s="554"/>
      <c r="I88" s="554"/>
      <c r="J88" s="554"/>
      <c r="K88" s="554"/>
      <c r="L88" s="554"/>
      <c r="M88" s="581"/>
      <c r="N88" s="1151"/>
      <c r="O88" s="1151"/>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7"/>
      <c r="Q89" s="504"/>
    </row>
    <row r="90" spans="1:17" s="471" customFormat="1" ht="15.75" thickTop="1">
      <c r="A90" s="553"/>
      <c r="B90" s="538">
        <f>B27</f>
        <v>111</v>
      </c>
      <c r="C90" s="554"/>
      <c r="D90" s="554"/>
      <c r="E90" s="554"/>
      <c r="F90" s="554"/>
      <c r="G90" s="554"/>
      <c r="H90" s="555"/>
      <c r="I90" s="555"/>
      <c r="J90" s="555"/>
      <c r="K90" s="555"/>
      <c r="L90" s="556"/>
      <c r="M90" s="557"/>
      <c r="N90" s="1154"/>
      <c r="O90" s="1154"/>
      <c r="P90" s="2628"/>
      <c r="Q90" s="559"/>
    </row>
    <row r="91" spans="1:17" s="471" customFormat="1" ht="15.75" thickBot="1">
      <c r="A91" s="553"/>
      <c r="B91" s="543"/>
      <c r="C91" s="560"/>
      <c r="D91" s="560"/>
      <c r="E91" s="560"/>
      <c r="F91" s="560"/>
      <c r="G91" s="560"/>
      <c r="H91" s="562"/>
      <c r="I91" s="562"/>
      <c r="J91" s="562"/>
      <c r="K91" s="562"/>
      <c r="L91" s="562"/>
      <c r="M91" s="563"/>
      <c r="N91" s="1154"/>
      <c r="O91" s="1154"/>
      <c r="P91" s="2628"/>
      <c r="Q91" s="559"/>
    </row>
    <row r="92" spans="1:17" ht="15.75" thickTop="1">
      <c r="A92" s="534"/>
      <c r="B92" s="538">
        <f>B28</f>
        <v>111</v>
      </c>
      <c r="C92" s="554"/>
      <c r="D92" s="554"/>
      <c r="E92" s="554"/>
      <c r="F92" s="554"/>
      <c r="G92" s="583"/>
      <c r="H92" s="583"/>
      <c r="I92" s="583"/>
      <c r="J92" s="583"/>
      <c r="K92" s="584"/>
      <c r="L92" s="585"/>
      <c r="M92" s="586"/>
      <c r="N92" s="1152"/>
      <c r="O92" s="1152"/>
      <c r="P92" s="2627"/>
      <c r="Q92" s="504"/>
    </row>
    <row r="93" spans="1:17" ht="15.75" thickBot="1">
      <c r="A93" s="534"/>
      <c r="B93" s="543"/>
      <c r="C93" s="560"/>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60"/>
      <c r="E95" s="560"/>
      <c r="F95" s="560"/>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70"/>
      <c r="D97" s="570"/>
      <c r="E97" s="570"/>
      <c r="F97" s="570"/>
      <c r="G97" s="536"/>
      <c r="H97" s="536"/>
      <c r="I97" s="536"/>
      <c r="J97" s="536"/>
      <c r="K97" s="536"/>
      <c r="L97" s="536"/>
      <c r="M97" s="537"/>
      <c r="N97" s="1153"/>
      <c r="O97" s="1153"/>
      <c r="P97" s="2627"/>
      <c r="Q97" s="504"/>
    </row>
    <row r="98" spans="1:17" ht="15.75" thickTop="1">
      <c r="A98" s="534"/>
      <c r="B98" s="546">
        <f>B31</f>
        <v>111</v>
      </c>
      <c r="C98" s="587"/>
      <c r="D98" s="587"/>
      <c r="E98" s="587"/>
      <c r="F98" s="587"/>
      <c r="G98" s="587"/>
      <c r="H98" s="587"/>
      <c r="I98" s="587"/>
      <c r="J98" s="587"/>
      <c r="K98" s="588"/>
      <c r="L98" s="589"/>
      <c r="M98" s="590"/>
      <c r="N98" s="1152"/>
      <c r="O98" s="1152"/>
      <c r="P98" s="2627"/>
      <c r="Q98" s="504"/>
    </row>
    <row r="99" spans="1:17" ht="15.75" thickBot="1">
      <c r="A99" s="2633"/>
      <c r="B99" s="569"/>
      <c r="C99" s="591"/>
      <c r="D99" s="591"/>
      <c r="E99" s="591"/>
      <c r="F99" s="591"/>
      <c r="G99" s="591"/>
      <c r="H99" s="591"/>
      <c r="I99" s="591"/>
      <c r="J99" s="591"/>
      <c r="K99" s="591"/>
      <c r="L99" s="591"/>
      <c r="M99" s="592"/>
      <c r="N99" s="1153"/>
      <c r="O99" s="1153"/>
      <c r="P99" s="2627"/>
      <c r="Q99" s="504"/>
    </row>
    <row r="100" spans="1:17">
      <c r="A100" s="527" t="s">
        <v>2560</v>
      </c>
      <c r="B100" s="528" t="s">
        <v>2609</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7"/>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8"/>
      <c r="Q104" s="559"/>
    </row>
    <row r="105" spans="1:17" ht="15" thickTop="1">
      <c r="A105" s="599"/>
      <c r="B105" s="538" t="s">
        <v>2611</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7"/>
      <c r="Q106" s="504"/>
    </row>
    <row r="107" spans="1:17" ht="15" thickTop="1">
      <c r="A107" s="599"/>
      <c r="B107" s="538" t="s">
        <v>2612</v>
      </c>
      <c r="C107" s="583"/>
      <c r="D107" s="583"/>
      <c r="E107" s="583"/>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7"/>
      <c r="Q108" s="504"/>
    </row>
    <row r="109" spans="1:17" ht="15" thickTop="1">
      <c r="A109" s="599"/>
      <c r="B109" s="538" t="s">
        <v>2613</v>
      </c>
      <c r="C109" s="554"/>
      <c r="D109" s="554"/>
      <c r="E109" s="554"/>
      <c r="F109" s="583"/>
      <c r="G109" s="583"/>
      <c r="H109" s="583"/>
      <c r="I109" s="583"/>
      <c r="J109" s="583"/>
      <c r="K109" s="584"/>
      <c r="L109" s="585"/>
      <c r="M109" s="586"/>
      <c r="N109" s="1152"/>
      <c r="O109" s="1152"/>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7"/>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8"/>
      <c r="Q113" s="559"/>
    </row>
    <row r="114" spans="1:17" ht="15" thickTop="1">
      <c r="A114" s="599"/>
      <c r="B114" s="538" t="s">
        <v>2614</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7"/>
      <c r="Q115" s="504"/>
    </row>
    <row r="116" spans="1:17" ht="15" thickTop="1">
      <c r="A116" s="599"/>
      <c r="B116" s="538" t="s">
        <v>2615</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2616</v>
      </c>
      <c r="C118" s="583"/>
      <c r="D118" s="583"/>
      <c r="E118" s="583"/>
      <c r="F118" s="583"/>
      <c r="G118" s="583"/>
      <c r="H118" s="583"/>
      <c r="I118" s="583"/>
      <c r="J118" s="583"/>
      <c r="K118" s="584"/>
      <c r="L118" s="585"/>
      <c r="M118" s="586"/>
      <c r="N118" s="1152"/>
      <c r="O118" s="1152"/>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7"/>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28"/>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8"/>
      <c r="Q121" s="559"/>
    </row>
    <row r="122" spans="1:17" ht="15" thickTop="1">
      <c r="A122" s="599"/>
      <c r="B122" s="538" t="s">
        <v>2617</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7"/>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60"/>
      <c r="E129" s="560"/>
      <c r="F129" s="560"/>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row r="136" spans="1:17" ht="15" thickBot="1">
      <c r="B136" s="2634" t="s">
        <v>2619</v>
      </c>
    </row>
    <row r="137" spans="1:17" ht="15">
      <c r="B137" s="2635" t="s">
        <v>2620</v>
      </c>
      <c r="C137" s="2636"/>
      <c r="D137" s="2636"/>
      <c r="E137" s="2636"/>
      <c r="F137" s="2636"/>
      <c r="G137" s="2637"/>
      <c r="H137" s="2638"/>
      <c r="I137" s="2639" t="s">
        <v>2621</v>
      </c>
      <c r="J137" s="2636"/>
      <c r="K137" s="2640"/>
    </row>
    <row r="138" spans="1:17" ht="15">
      <c r="B138" s="2641"/>
      <c r="C138" s="146" t="s">
        <v>2622</v>
      </c>
      <c r="D138" s="146" t="s">
        <v>2623</v>
      </c>
      <c r="E138" s="2642" t="s">
        <v>2624</v>
      </c>
      <c r="F138" s="2643" t="s">
        <v>2625</v>
      </c>
      <c r="G138" s="146" t="s">
        <v>2623</v>
      </c>
      <c r="H138" s="147" t="s">
        <v>2624</v>
      </c>
      <c r="I138" s="2644"/>
      <c r="J138" s="146" t="s">
        <v>2626</v>
      </c>
      <c r="K138" s="147" t="s">
        <v>2627</v>
      </c>
    </row>
    <row r="139" spans="1:17" ht="15">
      <c r="B139" s="1084">
        <v>6</v>
      </c>
      <c r="C139" s="1085">
        <v>96</v>
      </c>
      <c r="D139" s="2645" t="s">
        <v>2628</v>
      </c>
      <c r="E139" s="1086">
        <v>100</v>
      </c>
      <c r="F139" s="1087">
        <v>102.5</v>
      </c>
      <c r="G139" s="2645" t="s">
        <v>2628</v>
      </c>
      <c r="H139" s="1088">
        <v>105</v>
      </c>
      <c r="I139" s="2646" t="s">
        <v>2629</v>
      </c>
      <c r="J139" s="1085">
        <v>20</v>
      </c>
      <c r="K139" s="1089">
        <f>C145/(J139-2)</f>
        <v>4.0555555555555553E-3</v>
      </c>
    </row>
    <row r="140" spans="1:17" ht="15">
      <c r="B140" s="1090">
        <v>5</v>
      </c>
      <c r="C140" s="1091">
        <v>100</v>
      </c>
      <c r="D140" s="1091"/>
      <c r="E140" s="1092"/>
      <c r="F140" s="1093">
        <v>102</v>
      </c>
      <c r="G140" s="1091"/>
      <c r="H140" s="1094"/>
      <c r="I140" s="2647" t="s">
        <v>2630</v>
      </c>
      <c r="J140" s="315">
        <f>ROUNDUP((J139-1)/2,0)</f>
        <v>10</v>
      </c>
      <c r="K140" s="1095">
        <v>100</v>
      </c>
    </row>
    <row r="141" spans="1:17" ht="15">
      <c r="B141" s="1090">
        <v>4</v>
      </c>
      <c r="C141" s="1091">
        <v>102</v>
      </c>
      <c r="D141" s="1091"/>
      <c r="E141" s="1092"/>
      <c r="F141" s="1093">
        <v>101.5</v>
      </c>
      <c r="G141" s="1091"/>
      <c r="H141" s="1094"/>
      <c r="I141" s="2647" t="s">
        <v>2631</v>
      </c>
      <c r="J141" s="315">
        <v>1</v>
      </c>
      <c r="K141" s="1096">
        <f>ROUND(100+(J141-J140)*K139*100,1)</f>
        <v>96.4</v>
      </c>
    </row>
    <row r="142" spans="1:17" ht="15">
      <c r="B142" s="1090">
        <v>3</v>
      </c>
      <c r="C142" s="1091">
        <v>103</v>
      </c>
      <c r="D142" s="1091"/>
      <c r="E142" s="1092"/>
      <c r="F142" s="1093">
        <v>101</v>
      </c>
      <c r="G142" s="1091"/>
      <c r="H142" s="1094"/>
      <c r="I142" s="2647" t="s">
        <v>2632</v>
      </c>
      <c r="J142" s="315">
        <f>J139</f>
        <v>20</v>
      </c>
      <c r="K142" s="1097">
        <v>95</v>
      </c>
    </row>
    <row r="143" spans="1:17" ht="15">
      <c r="B143" s="1090">
        <v>2</v>
      </c>
      <c r="C143" s="1091">
        <v>100</v>
      </c>
      <c r="D143" s="1091"/>
      <c r="E143" s="1092"/>
      <c r="F143" s="1093">
        <v>100.5</v>
      </c>
      <c r="G143" s="1091"/>
      <c r="H143" s="1094"/>
      <c r="I143" s="2647" t="s">
        <v>2633</v>
      </c>
      <c r="J143" s="1091">
        <v>15</v>
      </c>
      <c r="K143" s="1096">
        <f>ROUND(100+(J143-J140)*K139*100,1)</f>
        <v>102</v>
      </c>
    </row>
    <row r="144" spans="1:17" ht="15">
      <c r="B144" s="1090">
        <v>1</v>
      </c>
      <c r="C144" s="1091">
        <v>98</v>
      </c>
      <c r="D144" s="2648" t="s">
        <v>2634</v>
      </c>
      <c r="E144" s="1092">
        <v>102</v>
      </c>
      <c r="F144" s="1098">
        <v>100</v>
      </c>
      <c r="G144" s="2648" t="s">
        <v>2634</v>
      </c>
      <c r="H144" s="1094">
        <v>105</v>
      </c>
      <c r="I144" s="2647" t="s">
        <v>2633</v>
      </c>
      <c r="J144" s="1091">
        <v>18</v>
      </c>
      <c r="K144" s="1096">
        <f>ROUND(100+(J144-J140)*K139*100,1)</f>
        <v>103.2</v>
      </c>
    </row>
    <row r="145" spans="2:11" ht="15.75" thickBot="1">
      <c r="B145" s="2649" t="s">
        <v>2635</v>
      </c>
      <c r="C145" s="1099">
        <f>ROUND(MAX(C139:C144)/MIN(C139:C144)-1,3)</f>
        <v>7.2999999999999995E-2</v>
      </c>
      <c r="D145" s="1100"/>
      <c r="E145" s="1100"/>
      <c r="F145" s="2650" t="s">
        <v>2636</v>
      </c>
      <c r="G145" s="2651"/>
      <c r="H145" s="2652"/>
      <c r="I145" s="2653" t="s">
        <v>2633</v>
      </c>
      <c r="J145" s="1101">
        <v>8</v>
      </c>
      <c r="K145" s="1102">
        <f>ROUND(100+(J145-J140)*K139*100,1)</f>
        <v>99.2</v>
      </c>
    </row>
    <row r="147" spans="2:11">
      <c r="B147" s="2634" t="s">
        <v>2637</v>
      </c>
    </row>
    <row r="148" spans="2:11">
      <c r="B148" s="2634"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79" t="s">
        <v>2639</v>
      </c>
      <c r="C1" s="1634" t="s">
        <v>2527</v>
      </c>
      <c r="D1" s="1621"/>
      <c r="E1" s="2654"/>
      <c r="F1" s="2581"/>
      <c r="G1" s="1631" t="s">
        <v>2640</v>
      </c>
      <c r="H1" s="1630"/>
      <c r="I1" s="1630"/>
      <c r="J1" s="1630"/>
      <c r="K1" s="1632"/>
      <c r="L1" s="1633"/>
      <c r="M1" s="1634"/>
      <c r="N1" s="1634"/>
      <c r="O1" s="1634"/>
      <c r="P1" s="2655"/>
      <c r="Q1" s="2656"/>
      <c r="R1" s="2656"/>
      <c r="S1" s="2656"/>
      <c r="T1" s="2656"/>
      <c r="U1" s="2656"/>
      <c r="V1" s="2656"/>
      <c r="W1" s="2656"/>
      <c r="X1" s="2656"/>
      <c r="Y1" s="2656"/>
      <c r="Z1" s="2656"/>
      <c r="AA1" s="2656"/>
      <c r="AB1" s="2656"/>
      <c r="AC1" s="2657"/>
    </row>
    <row r="2" spans="1:29" s="398" customFormat="1" ht="28.5" customHeight="1" thickTop="1">
      <c r="A2" s="1617" t="s">
        <v>2324</v>
      </c>
      <c r="B2" s="1418" t="e">
        <f ca="1">IF(C2="——",ROUND(C49*D3/10000,0),ROUND(C49*D3/10000,0)-D2)</f>
        <v>#DIV/0!</v>
      </c>
      <c r="C2" s="2583"/>
      <c r="D2" s="1365" t="e">
        <f ca="1">SUMIF(INDIRECT("'"&amp;F2&amp;"'"&amp;"!A:A"),"承租人权益价值",INDIRECT("'"&amp;F2&amp;"'"&amp;"!c:c"))</f>
        <v>#REF!</v>
      </c>
      <c r="E2" s="2584" t="s">
        <v>2325</v>
      </c>
      <c r="F2" s="2585"/>
      <c r="G2" s="1125"/>
      <c r="H2" s="1125"/>
      <c r="I2" s="1125"/>
      <c r="J2" s="1125"/>
      <c r="K2" s="1125"/>
      <c r="L2" s="1128"/>
      <c r="M2" s="1129"/>
      <c r="N2" s="1129"/>
      <c r="O2" s="1129"/>
      <c r="P2" s="2658"/>
      <c r="Q2" s="1129"/>
      <c r="R2" s="1129"/>
      <c r="S2" s="1129"/>
      <c r="T2" s="1129"/>
      <c r="U2" s="1129"/>
      <c r="V2" s="1129"/>
      <c r="W2" s="1129"/>
      <c r="X2" s="1129"/>
      <c r="Y2" s="1129"/>
      <c r="Z2" s="1129"/>
      <c r="AA2" s="1129"/>
      <c r="AB2" s="1129"/>
      <c r="AC2" s="2659"/>
    </row>
    <row r="3" spans="1:29" s="398" customFormat="1" ht="28.5" customHeight="1" thickBot="1">
      <c r="A3" s="247" t="s">
        <v>2326</v>
      </c>
      <c r="B3" s="609" t="e">
        <f ca="1">IF(C2="——",C49,ROUND(B2*10000/D3,0))</f>
        <v>#DIV/0!</v>
      </c>
      <c r="C3" s="400" t="s">
        <v>2641</v>
      </c>
      <c r="D3" s="399">
        <f>IF(D1="",'数据-汇总表'!E3,SUMIF('数据-汇总表'!$C19:$C33,D1,'数据-汇总表'!$E19:$E33))</f>
        <v>51328.59</v>
      </c>
      <c r="E3" s="2660"/>
      <c r="F3" s="1126"/>
      <c r="G3" s="1125"/>
      <c r="H3" s="1125"/>
      <c r="I3" s="1125"/>
      <c r="J3" s="1125"/>
      <c r="K3" s="1127"/>
      <c r="L3" s="1128"/>
      <c r="M3" s="1129"/>
      <c r="N3" s="1129"/>
      <c r="O3" s="1129"/>
      <c r="P3" s="2658"/>
      <c r="Q3" s="1129"/>
      <c r="R3" s="1129"/>
      <c r="S3" s="1129"/>
      <c r="T3" s="1129"/>
      <c r="U3" s="1129"/>
      <c r="V3" s="1129"/>
      <c r="W3" s="1129"/>
      <c r="X3" s="1129"/>
      <c r="Y3" s="1129"/>
      <c r="Z3" s="1129"/>
      <c r="AA3" s="1129"/>
      <c r="AB3" s="1129"/>
      <c r="AC3" s="2660"/>
    </row>
    <row r="4" spans="1:29" ht="15">
      <c r="A4" s="401" t="s">
        <v>2642</v>
      </c>
      <c r="B4" s="402"/>
      <c r="C4" s="3238" t="s">
        <v>2643</v>
      </c>
      <c r="D4" s="3239"/>
      <c r="E4" s="3240" t="s">
        <v>2644</v>
      </c>
      <c r="F4" s="3241"/>
      <c r="G4" s="3238" t="s">
        <v>2645</v>
      </c>
      <c r="H4" s="3239"/>
      <c r="I4" s="3238" t="s">
        <v>2646</v>
      </c>
      <c r="J4" s="3239"/>
      <c r="K4" s="610" t="s">
        <v>2647</v>
      </c>
      <c r="L4" s="1130"/>
      <c r="M4" s="1131"/>
      <c r="N4" s="1131"/>
      <c r="O4" s="1131"/>
      <c r="P4" s="3242" t="s">
        <v>2648</v>
      </c>
      <c r="Q4" s="3243"/>
      <c r="R4" s="3225" t="s">
        <v>2644</v>
      </c>
      <c r="S4" s="3226"/>
      <c r="T4" s="3225" t="s">
        <v>2645</v>
      </c>
      <c r="U4" s="3226"/>
      <c r="V4" s="3250" t="s">
        <v>2646</v>
      </c>
      <c r="W4" s="3250"/>
      <c r="X4" s="1812"/>
      <c r="Y4" s="3225" t="s">
        <v>2648</v>
      </c>
      <c r="Z4" s="3226"/>
      <c r="AA4" s="3220" t="s">
        <v>2644</v>
      </c>
      <c r="AB4" s="3250" t="s">
        <v>2645</v>
      </c>
      <c r="AC4" s="3220" t="s">
        <v>2646</v>
      </c>
    </row>
    <row r="5" spans="1:29" ht="15">
      <c r="A5" s="404"/>
      <c r="B5" s="405"/>
      <c r="C5" s="3231" t="s">
        <v>2539</v>
      </c>
      <c r="D5" s="3232"/>
      <c r="E5" s="3229" t="s">
        <v>2540</v>
      </c>
      <c r="F5" s="3230"/>
      <c r="G5" s="3231" t="s">
        <v>2541</v>
      </c>
      <c r="H5" s="3232"/>
      <c r="I5" s="3231" t="s">
        <v>2542</v>
      </c>
      <c r="J5" s="3232"/>
      <c r="K5" s="610"/>
      <c r="L5" s="1130"/>
      <c r="M5" s="1131"/>
      <c r="N5" s="1131"/>
      <c r="O5" s="1131"/>
      <c r="P5" s="3244"/>
      <c r="Q5" s="3245"/>
      <c r="R5" s="3227"/>
      <c r="S5" s="3228"/>
      <c r="T5" s="3227"/>
      <c r="U5" s="3228"/>
      <c r="V5" s="3250"/>
      <c r="W5" s="3250"/>
      <c r="X5" s="1812"/>
      <c r="Y5" s="3227"/>
      <c r="Z5" s="3228"/>
      <c r="AA5" s="3221"/>
      <c r="AB5" s="3250"/>
      <c r="AC5" s="3221"/>
    </row>
    <row r="6" spans="1:29" ht="15.75" thickBot="1">
      <c r="A6" s="406"/>
      <c r="B6" s="407"/>
      <c r="C6" s="3233" t="s">
        <v>2543</v>
      </c>
      <c r="D6" s="3234"/>
      <c r="E6" s="3235" t="s">
        <v>2543</v>
      </c>
      <c r="F6" s="3236"/>
      <c r="G6" s="3233" t="s">
        <v>2543</v>
      </c>
      <c r="H6" s="3234"/>
      <c r="I6" s="3233" t="s">
        <v>2543</v>
      </c>
      <c r="J6" s="3234"/>
      <c r="K6" s="610" t="s">
        <v>2544</v>
      </c>
      <c r="L6" s="1130"/>
      <c r="M6" s="1131"/>
      <c r="N6" s="1131"/>
      <c r="O6" s="1131"/>
      <c r="P6" s="3246"/>
      <c r="Q6" s="3247"/>
      <c r="R6" s="3227"/>
      <c r="S6" s="3228"/>
      <c r="T6" s="3248"/>
      <c r="U6" s="3249"/>
      <c r="V6" s="3250"/>
      <c r="W6" s="3250"/>
      <c r="X6" s="1812"/>
      <c r="Y6" s="3248"/>
      <c r="Z6" s="3249"/>
      <c r="AA6" s="3222"/>
      <c r="AB6" s="3250"/>
      <c r="AC6" s="3222"/>
    </row>
    <row r="7" spans="1:29" s="117" customFormat="1" ht="15.75" thickBot="1">
      <c r="A7" s="408" t="s">
        <v>2545</v>
      </c>
      <c r="B7" s="409"/>
      <c r="C7" s="410">
        <f>'数据-取费表'!B2</f>
        <v>43902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3" t="s">
        <v>2546</v>
      </c>
      <c r="Q7" s="3251"/>
      <c r="R7" s="770" t="s">
        <v>17</v>
      </c>
      <c r="S7" s="771">
        <f t="shared" ref="S7:S15" si="0">F7</f>
        <v>0</v>
      </c>
      <c r="T7" s="770" t="s">
        <v>17</v>
      </c>
      <c r="U7" s="771">
        <f t="shared" ref="U7:U15" si="1">H7</f>
        <v>0</v>
      </c>
      <c r="V7" s="770" t="s">
        <v>17</v>
      </c>
      <c r="W7" s="771">
        <f t="shared" ref="W7:W15" si="2">J7</f>
        <v>0</v>
      </c>
      <c r="X7" s="772"/>
      <c r="Y7" s="3223" t="s">
        <v>2546</v>
      </c>
      <c r="Z7" s="3224"/>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3" t="s">
        <v>2549</v>
      </c>
      <c r="Q8" s="3224"/>
      <c r="R8" s="770" t="s">
        <v>17</v>
      </c>
      <c r="S8" s="771">
        <f t="shared" si="0"/>
        <v>0</v>
      </c>
      <c r="T8" s="770" t="s">
        <v>17</v>
      </c>
      <c r="U8" s="771">
        <f t="shared" si="1"/>
        <v>0</v>
      </c>
      <c r="V8" s="770" t="s">
        <v>17</v>
      </c>
      <c r="W8" s="771">
        <f t="shared" si="2"/>
        <v>0</v>
      </c>
      <c r="X8" s="772"/>
      <c r="Y8" s="3223" t="s">
        <v>2549</v>
      </c>
      <c r="Z8" s="3224"/>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37" t="s">
        <v>2552</v>
      </c>
      <c r="Q9" s="1794" t="str">
        <f t="shared" ref="Q9:Q15" si="6">B9</f>
        <v>用途</v>
      </c>
      <c r="R9" s="770" t="s">
        <v>17</v>
      </c>
      <c r="S9" s="771">
        <f t="shared" si="0"/>
        <v>100</v>
      </c>
      <c r="T9" s="770" t="s">
        <v>17</v>
      </c>
      <c r="U9" s="771">
        <f t="shared" si="1"/>
        <v>100</v>
      </c>
      <c r="V9" s="770" t="s">
        <v>17</v>
      </c>
      <c r="W9" s="771">
        <f t="shared" si="2"/>
        <v>100</v>
      </c>
      <c r="X9" s="772"/>
      <c r="Y9" s="304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37"/>
      <c r="Q10" s="1794"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37"/>
      <c r="Q11" s="1794"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7"/>
      <c r="Q12" s="1794">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7"/>
      <c r="Q13" s="1794">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7"/>
      <c r="Q14" s="1794">
        <f t="shared" si="6"/>
        <v>111</v>
      </c>
      <c r="R14" s="770" t="s">
        <v>17</v>
      </c>
      <c r="S14" s="771">
        <f t="shared" si="0"/>
        <v>100</v>
      </c>
      <c r="T14" s="770" t="s">
        <v>17</v>
      </c>
      <c r="U14" s="771">
        <f t="shared" si="1"/>
        <v>100</v>
      </c>
      <c r="V14" s="770" t="s">
        <v>17</v>
      </c>
      <c r="W14" s="771">
        <f t="shared" si="2"/>
        <v>100</v>
      </c>
      <c r="X14" s="772"/>
      <c r="Y14" s="3047"/>
      <c r="Z14" s="55">
        <f t="shared" si="7"/>
        <v>111</v>
      </c>
      <c r="AA14" s="773">
        <f t="shared" si="3"/>
        <v>1</v>
      </c>
      <c r="AB14" s="773">
        <f t="shared" si="4"/>
        <v>1</v>
      </c>
      <c r="AC14" s="773">
        <f t="shared" si="5"/>
        <v>1</v>
      </c>
    </row>
    <row r="15" spans="1:29" ht="71.25">
      <c r="A15" s="440" t="s">
        <v>2556</v>
      </c>
      <c r="B15" s="69" t="s">
        <v>2650</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4" t="s">
        <v>2557</v>
      </c>
      <c r="Q15" s="1809" t="str">
        <f t="shared" si="6"/>
        <v>商业繁华度</v>
      </c>
      <c r="R15" s="774" t="s">
        <v>17</v>
      </c>
      <c r="S15" s="775">
        <f t="shared" si="0"/>
        <v>100</v>
      </c>
      <c r="T15" s="774" t="s">
        <v>17</v>
      </c>
      <c r="U15" s="775">
        <f t="shared" si="1"/>
        <v>100</v>
      </c>
      <c r="V15" s="774" t="s">
        <v>17</v>
      </c>
      <c r="W15" s="775">
        <f t="shared" si="2"/>
        <v>100</v>
      </c>
      <c r="X15" s="1812"/>
      <c r="Y15" s="3257" t="s">
        <v>2557</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65"/>
      <c r="Q16" s="1809"/>
      <c r="R16" s="774"/>
      <c r="S16" s="775"/>
      <c r="T16" s="774"/>
      <c r="U16" s="775"/>
      <c r="V16" s="774"/>
      <c r="W16" s="775"/>
      <c r="X16" s="1812"/>
      <c r="Y16" s="3258"/>
      <c r="Z16" s="1813"/>
      <c r="AA16" s="1810">
        <v>1</v>
      </c>
      <c r="AB16" s="1810">
        <v>1</v>
      </c>
      <c r="AC16" s="1810">
        <v>1</v>
      </c>
    </row>
    <row r="17" spans="1:29" ht="85.5">
      <c r="A17" s="428"/>
      <c r="B17" s="451" t="s">
        <v>2093</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5"/>
      <c r="Q17" s="1809" t="str">
        <f>B17</f>
        <v>交通便捷度</v>
      </c>
      <c r="R17" s="774" t="s">
        <v>17</v>
      </c>
      <c r="S17" s="775">
        <f>F17</f>
        <v>100</v>
      </c>
      <c r="T17" s="774" t="s">
        <v>17</v>
      </c>
      <c r="U17" s="775">
        <f>H17</f>
        <v>100</v>
      </c>
      <c r="V17" s="774" t="s">
        <v>17</v>
      </c>
      <c r="W17" s="775">
        <f>J17</f>
        <v>100</v>
      </c>
      <c r="X17" s="1812"/>
      <c r="Y17" s="3258"/>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40"/>
      <c r="M18" s="1131"/>
      <c r="N18" s="1131"/>
      <c r="O18" s="1131"/>
      <c r="P18" s="3265"/>
      <c r="Q18" s="1809"/>
      <c r="R18" s="774"/>
      <c r="S18" s="775"/>
      <c r="T18" s="774"/>
      <c r="U18" s="775"/>
      <c r="V18" s="774"/>
      <c r="W18" s="775"/>
      <c r="X18" s="1812"/>
      <c r="Y18" s="3258"/>
      <c r="Z18" s="1813"/>
      <c r="AA18" s="1810">
        <v>1</v>
      </c>
      <c r="AB18" s="1810">
        <v>1</v>
      </c>
      <c r="AC18" s="1810">
        <v>1</v>
      </c>
    </row>
    <row r="19" spans="1:29" ht="42.75">
      <c r="A19" s="428"/>
      <c r="B19" s="451" t="s">
        <v>2651</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5"/>
      <c r="Q19" s="1809" t="str">
        <f>B19</f>
        <v>公共配套设施</v>
      </c>
      <c r="R19" s="774" t="s">
        <v>17</v>
      </c>
      <c r="S19" s="775">
        <f>F19</f>
        <v>100</v>
      </c>
      <c r="T19" s="774" t="s">
        <v>17</v>
      </c>
      <c r="U19" s="775">
        <f>H19</f>
        <v>100</v>
      </c>
      <c r="V19" s="774" t="s">
        <v>17</v>
      </c>
      <c r="W19" s="775">
        <f>J19</f>
        <v>100</v>
      </c>
      <c r="X19" s="1812"/>
      <c r="Y19" s="3258"/>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40"/>
      <c r="M20" s="1131"/>
      <c r="N20" s="1131"/>
      <c r="O20" s="1131"/>
      <c r="P20" s="3265"/>
      <c r="Q20" s="1809"/>
      <c r="R20" s="774"/>
      <c r="S20" s="775"/>
      <c r="T20" s="774"/>
      <c r="U20" s="775"/>
      <c r="V20" s="774"/>
      <c r="W20" s="775"/>
      <c r="X20" s="1812"/>
      <c r="Y20" s="3258"/>
      <c r="Z20" s="1813"/>
      <c r="AA20" s="1810">
        <v>1</v>
      </c>
      <c r="AB20" s="1810">
        <v>1</v>
      </c>
      <c r="AC20" s="1810">
        <v>1</v>
      </c>
    </row>
    <row r="21" spans="1:29" ht="28.5">
      <c r="A21" s="428"/>
      <c r="B21" s="1384" t="s">
        <v>2652</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5"/>
      <c r="Q21" s="1809" t="str">
        <f>B21</f>
        <v>基础设施水平</v>
      </c>
      <c r="R21" s="774" t="s">
        <v>17</v>
      </c>
      <c r="S21" s="775">
        <f>F21</f>
        <v>100</v>
      </c>
      <c r="T21" s="774" t="s">
        <v>17</v>
      </c>
      <c r="U21" s="775">
        <f>H21</f>
        <v>100</v>
      </c>
      <c r="V21" s="774" t="s">
        <v>17</v>
      </c>
      <c r="W21" s="775">
        <f>J21</f>
        <v>100</v>
      </c>
      <c r="X21" s="1812"/>
      <c r="Y21" s="3258"/>
      <c r="Z21" s="1813" t="str">
        <f>Q21</f>
        <v>基础设施水平</v>
      </c>
      <c r="AA21" s="1810">
        <f t="shared" ref="AA21" si="8">D21/F21</f>
        <v>1</v>
      </c>
      <c r="AB21" s="1810">
        <f t="shared" ref="AB21" si="9">D21/H21</f>
        <v>1</v>
      </c>
      <c r="AC21" s="1810">
        <f t="shared" ref="AC21" si="10">D21/J21</f>
        <v>1</v>
      </c>
    </row>
    <row r="22" spans="1:29" ht="15">
      <c r="A22" s="428"/>
      <c r="B22" s="1384"/>
      <c r="C22" s="2605"/>
      <c r="D22" s="448"/>
      <c r="E22" s="447"/>
      <c r="F22" s="449"/>
      <c r="G22" s="447"/>
      <c r="H22" s="448"/>
      <c r="I22" s="447"/>
      <c r="J22" s="448"/>
      <c r="K22" s="1383"/>
      <c r="L22" s="1140"/>
      <c r="M22" s="1131"/>
      <c r="N22" s="1131"/>
      <c r="O22" s="1131"/>
      <c r="P22" s="3265"/>
      <c r="Q22" s="1809"/>
      <c r="R22" s="774"/>
      <c r="S22" s="775"/>
      <c r="T22" s="774"/>
      <c r="U22" s="775"/>
      <c r="V22" s="774"/>
      <c r="W22" s="775"/>
      <c r="X22" s="1812"/>
      <c r="Y22" s="3258"/>
      <c r="Z22" s="1813"/>
      <c r="AA22" s="1810">
        <v>1</v>
      </c>
      <c r="AB22" s="1810">
        <v>1</v>
      </c>
      <c r="AC22" s="1810">
        <v>1</v>
      </c>
    </row>
    <row r="23" spans="1:29" ht="57">
      <c r="A23" s="428"/>
      <c r="B23" s="451" t="s">
        <v>2098</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5"/>
      <c r="Q23" s="1809" t="str">
        <f>B23</f>
        <v>自然及人文环境</v>
      </c>
      <c r="R23" s="774" t="s">
        <v>17</v>
      </c>
      <c r="S23" s="775">
        <f>F23</f>
        <v>100</v>
      </c>
      <c r="T23" s="774" t="s">
        <v>17</v>
      </c>
      <c r="U23" s="775">
        <f>H23</f>
        <v>100</v>
      </c>
      <c r="V23" s="774" t="s">
        <v>17</v>
      </c>
      <c r="W23" s="775">
        <f>J23</f>
        <v>100</v>
      </c>
      <c r="X23" s="1812"/>
      <c r="Y23" s="3258"/>
      <c r="Z23" s="1813" t="str">
        <f>Q23</f>
        <v>自然及人文环境</v>
      </c>
      <c r="AA23" s="1810">
        <f t="shared" si="3"/>
        <v>1</v>
      </c>
      <c r="AB23" s="1810">
        <f t="shared" si="4"/>
        <v>1</v>
      </c>
      <c r="AC23" s="1810">
        <f t="shared" si="5"/>
        <v>1</v>
      </c>
    </row>
    <row r="24" spans="1:29" ht="15">
      <c r="A24" s="428"/>
      <c r="B24" s="456"/>
      <c r="C24" s="447"/>
      <c r="D24" s="448"/>
      <c r="E24" s="2602"/>
      <c r="F24" s="449"/>
      <c r="G24" s="2601"/>
      <c r="H24" s="448"/>
      <c r="I24" s="2602"/>
      <c r="J24" s="448"/>
      <c r="K24" s="615"/>
      <c r="L24" s="1140"/>
      <c r="M24" s="1131"/>
      <c r="N24" s="1131"/>
      <c r="O24" s="1131"/>
      <c r="P24" s="3265"/>
      <c r="Q24" s="1809"/>
      <c r="R24" s="774"/>
      <c r="S24" s="775"/>
      <c r="T24" s="774"/>
      <c r="U24" s="775"/>
      <c r="V24" s="774"/>
      <c r="W24" s="775"/>
      <c r="X24" s="1812"/>
      <c r="Y24" s="3258"/>
      <c r="Z24" s="1813"/>
      <c r="AA24" s="1810">
        <v>1</v>
      </c>
      <c r="AB24" s="1810">
        <v>1</v>
      </c>
      <c r="AC24" s="1810">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5"/>
      <c r="Q25" s="1809" t="str">
        <f t="shared" ref="Q25:Q46" si="11">B25</f>
        <v>临街状况</v>
      </c>
      <c r="R25" s="774" t="s">
        <v>17</v>
      </c>
      <c r="S25" s="775">
        <f>F25</f>
        <v>100</v>
      </c>
      <c r="T25" s="774" t="s">
        <v>17</v>
      </c>
      <c r="U25" s="775">
        <f>H25</f>
        <v>100</v>
      </c>
      <c r="V25" s="774" t="s">
        <v>17</v>
      </c>
      <c r="W25" s="775">
        <f>J25</f>
        <v>100</v>
      </c>
      <c r="X25" s="1812"/>
      <c r="Y25" s="3258"/>
      <c r="Z25" s="1813" t="str">
        <f>Q25</f>
        <v>临街状况</v>
      </c>
      <c r="AA25" s="1810">
        <f t="shared" si="3"/>
        <v>1</v>
      </c>
      <c r="AB25" s="1810">
        <f t="shared" si="4"/>
        <v>1</v>
      </c>
      <c r="AC25" s="1810">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5"/>
      <c r="Q26" s="1809" t="str">
        <f t="shared" si="11"/>
        <v>平面位置/可视性</v>
      </c>
      <c r="R26" s="774" t="s">
        <v>17</v>
      </c>
      <c r="S26" s="775">
        <f>F26</f>
        <v>100</v>
      </c>
      <c r="T26" s="774" t="s">
        <v>17</v>
      </c>
      <c r="U26" s="775">
        <f>H26</f>
        <v>100</v>
      </c>
      <c r="V26" s="774" t="s">
        <v>17</v>
      </c>
      <c r="W26" s="775">
        <f>J26</f>
        <v>100</v>
      </c>
      <c r="X26" s="1812"/>
      <c r="Y26" s="3258"/>
      <c r="Z26" s="1813" t="str">
        <f>Q26</f>
        <v>平面位置/可视性</v>
      </c>
      <c r="AA26" s="1810">
        <f t="shared" si="3"/>
        <v>1</v>
      </c>
      <c r="AB26" s="1810">
        <f t="shared" si="4"/>
        <v>1</v>
      </c>
      <c r="AC26" s="1810">
        <f t="shared" si="5"/>
        <v>1</v>
      </c>
    </row>
    <row r="27" spans="1:29" s="117" customFormat="1" ht="15">
      <c r="A27" s="431"/>
      <c r="B27" s="451" t="s">
        <v>2655</v>
      </c>
      <c r="C27" s="2662"/>
      <c r="D27" s="462">
        <v>100</v>
      </c>
      <c r="E27" s="2662"/>
      <c r="F27" s="464">
        <f>SUMIF(90:90,E27,91:91)-SUMIF(90:90,C27,91:91)+100</f>
        <v>100</v>
      </c>
      <c r="G27" s="2662"/>
      <c r="H27" s="462">
        <f>SUMIF(90:90,G27,91:91)-SUMIF(90:90,C27,91:91)+100</f>
        <v>100</v>
      </c>
      <c r="I27" s="2662"/>
      <c r="J27" s="462">
        <f>SUMIF(90:90,I27,91:91)-SUMIF(90:90,C27,91:91)+100</f>
        <v>100</v>
      </c>
      <c r="K27" s="612"/>
      <c r="L27" s="1132"/>
      <c r="M27" s="1133"/>
      <c r="N27" s="1133"/>
      <c r="O27" s="1133"/>
      <c r="P27" s="3265"/>
      <c r="Q27" s="1794" t="str">
        <f t="shared" si="11"/>
        <v>人流量</v>
      </c>
      <c r="R27" s="770" t="s">
        <v>17</v>
      </c>
      <c r="S27" s="771">
        <f>F27</f>
        <v>100</v>
      </c>
      <c r="T27" s="770" t="s">
        <v>17</v>
      </c>
      <c r="U27" s="771">
        <f>H27</f>
        <v>100</v>
      </c>
      <c r="V27" s="770" t="s">
        <v>17</v>
      </c>
      <c r="W27" s="771">
        <f>J27</f>
        <v>100</v>
      </c>
      <c r="X27" s="772"/>
      <c r="Y27" s="3258"/>
      <c r="Z27" s="55" t="str">
        <f>Q27</f>
        <v>人流量</v>
      </c>
      <c r="AA27" s="1810">
        <f>D27/F27</f>
        <v>1</v>
      </c>
      <c r="AB27" s="1810">
        <f>D27/H27</f>
        <v>1</v>
      </c>
      <c r="AC27" s="1810">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5"/>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58"/>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5"/>
      <c r="Q29" s="1809">
        <f t="shared" si="11"/>
        <v>111</v>
      </c>
      <c r="R29" s="774" t="s">
        <v>17</v>
      </c>
      <c r="S29" s="775">
        <f t="shared" si="12"/>
        <v>100</v>
      </c>
      <c r="T29" s="774" t="s">
        <v>17</v>
      </c>
      <c r="U29" s="775">
        <f t="shared" si="13"/>
        <v>100</v>
      </c>
      <c r="V29" s="774" t="s">
        <v>17</v>
      </c>
      <c r="W29" s="775">
        <f t="shared" si="14"/>
        <v>100</v>
      </c>
      <c r="X29" s="1812"/>
      <c r="Y29" s="3258"/>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5"/>
      <c r="Q30" s="1809">
        <f t="shared" si="11"/>
        <v>111</v>
      </c>
      <c r="R30" s="774" t="s">
        <v>17</v>
      </c>
      <c r="S30" s="775">
        <f t="shared" si="12"/>
        <v>100</v>
      </c>
      <c r="T30" s="774" t="s">
        <v>17</v>
      </c>
      <c r="U30" s="775">
        <f t="shared" si="13"/>
        <v>100</v>
      </c>
      <c r="V30" s="774" t="s">
        <v>17</v>
      </c>
      <c r="W30" s="775">
        <f t="shared" si="14"/>
        <v>100</v>
      </c>
      <c r="X30" s="1812"/>
      <c r="Y30" s="3258"/>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5"/>
      <c r="Q31" s="1809">
        <f t="shared" si="11"/>
        <v>111</v>
      </c>
      <c r="R31" s="774" t="s">
        <v>17</v>
      </c>
      <c r="S31" s="775">
        <f t="shared" si="12"/>
        <v>100</v>
      </c>
      <c r="T31" s="774" t="s">
        <v>17</v>
      </c>
      <c r="U31" s="775">
        <f t="shared" si="13"/>
        <v>100</v>
      </c>
      <c r="V31" s="774" t="s">
        <v>17</v>
      </c>
      <c r="W31" s="775">
        <f t="shared" si="14"/>
        <v>100</v>
      </c>
      <c r="X31" s="1812"/>
      <c r="Y31" s="3258"/>
      <c r="Z31" s="1813">
        <f t="shared" si="15"/>
        <v>111</v>
      </c>
      <c r="AA31" s="1810">
        <f t="shared" si="3"/>
        <v>1</v>
      </c>
      <c r="AB31" s="1810">
        <f t="shared" si="4"/>
        <v>1</v>
      </c>
      <c r="AC31" s="1810">
        <f t="shared" si="5"/>
        <v>1</v>
      </c>
    </row>
    <row r="32" spans="1:29" ht="15">
      <c r="A32" s="440" t="s">
        <v>2560</v>
      </c>
      <c r="B32" s="71" t="s">
        <v>2657</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0"/>
      <c r="M32" s="1131"/>
      <c r="N32" s="1131"/>
      <c r="O32" s="1131"/>
      <c r="P32" s="3259" t="s">
        <v>2562</v>
      </c>
      <c r="Q32" s="1809" t="str">
        <f t="shared" si="11"/>
        <v>商业类型</v>
      </c>
      <c r="R32" s="774" t="s">
        <v>17</v>
      </c>
      <c r="S32" s="775">
        <f t="shared" si="12"/>
        <v>100</v>
      </c>
      <c r="T32" s="774" t="s">
        <v>17</v>
      </c>
      <c r="U32" s="775">
        <f t="shared" si="13"/>
        <v>100</v>
      </c>
      <c r="V32" s="774" t="s">
        <v>17</v>
      </c>
      <c r="W32" s="775">
        <f t="shared" si="14"/>
        <v>100</v>
      </c>
      <c r="X32" s="1812"/>
      <c r="Y32" s="3262" t="s">
        <v>2562</v>
      </c>
      <c r="Z32" s="1813" t="str">
        <f t="shared" si="15"/>
        <v>商业类型</v>
      </c>
      <c r="AA32" s="1810">
        <f t="shared" si="3"/>
        <v>1</v>
      </c>
      <c r="AB32" s="1810">
        <f t="shared" si="4"/>
        <v>1</v>
      </c>
      <c r="AC32" s="1810">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60"/>
      <c r="Q33" s="776" t="str">
        <f t="shared" si="11"/>
        <v>项目建筑规模</v>
      </c>
      <c r="R33" s="777" t="s">
        <v>17</v>
      </c>
      <c r="S33" s="778" t="e">
        <f t="shared" si="12"/>
        <v>#N/A</v>
      </c>
      <c r="T33" s="777" t="s">
        <v>17</v>
      </c>
      <c r="U33" s="778" t="e">
        <f t="shared" si="13"/>
        <v>#N/A</v>
      </c>
      <c r="V33" s="777" t="s">
        <v>17</v>
      </c>
      <c r="W33" s="778" t="e">
        <f t="shared" si="14"/>
        <v>#N/A</v>
      </c>
      <c r="X33" s="779"/>
      <c r="Y33" s="3262"/>
      <c r="Z33" s="780" t="str">
        <f t="shared" si="15"/>
        <v>项目建筑规模</v>
      </c>
      <c r="AA33" s="1810" t="e">
        <f t="shared" si="3"/>
        <v>#N/A</v>
      </c>
      <c r="AB33" s="1810" t="e">
        <f t="shared" si="4"/>
        <v>#N/A</v>
      </c>
      <c r="AC33" s="1810" t="e">
        <f t="shared" si="5"/>
        <v>#N/A</v>
      </c>
    </row>
    <row r="34" spans="1:29" ht="15">
      <c r="A34" s="472"/>
      <c r="B34" s="422" t="s">
        <v>2564</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0"/>
      <c r="M34" s="1131"/>
      <c r="N34" s="1131"/>
      <c r="O34" s="1131"/>
      <c r="P34" s="3260"/>
      <c r="Q34" s="1809" t="str">
        <f t="shared" si="11"/>
        <v>建筑结构</v>
      </c>
      <c r="R34" s="774" t="s">
        <v>17</v>
      </c>
      <c r="S34" s="775">
        <f t="shared" si="12"/>
        <v>100</v>
      </c>
      <c r="T34" s="774" t="s">
        <v>17</v>
      </c>
      <c r="U34" s="775">
        <f t="shared" si="13"/>
        <v>100</v>
      </c>
      <c r="V34" s="774" t="s">
        <v>17</v>
      </c>
      <c r="W34" s="775">
        <f t="shared" si="14"/>
        <v>100</v>
      </c>
      <c r="X34" s="1812"/>
      <c r="Y34" s="3262"/>
      <c r="Z34" s="1813" t="str">
        <f t="shared" si="15"/>
        <v>建筑结构</v>
      </c>
      <c r="AA34" s="1810">
        <f t="shared" si="3"/>
        <v>1</v>
      </c>
      <c r="AB34" s="1810">
        <f t="shared" si="4"/>
        <v>1</v>
      </c>
      <c r="AC34" s="1810">
        <f t="shared" si="5"/>
        <v>1</v>
      </c>
    </row>
    <row r="35" spans="1:29" ht="15">
      <c r="A35" s="472"/>
      <c r="B35" s="422" t="s">
        <v>2658</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0"/>
      <c r="M35" s="1131"/>
      <c r="N35" s="1131"/>
      <c r="O35" s="1131"/>
      <c r="P35" s="3260"/>
      <c r="Q35" s="1809" t="str">
        <f t="shared" si="11"/>
        <v>公共部分装修</v>
      </c>
      <c r="R35" s="774" t="s">
        <v>17</v>
      </c>
      <c r="S35" s="775">
        <f t="shared" si="12"/>
        <v>100</v>
      </c>
      <c r="T35" s="774" t="s">
        <v>17</v>
      </c>
      <c r="U35" s="775">
        <f t="shared" si="13"/>
        <v>100</v>
      </c>
      <c r="V35" s="774" t="s">
        <v>17</v>
      </c>
      <c r="W35" s="775">
        <f t="shared" si="14"/>
        <v>100</v>
      </c>
      <c r="X35" s="1812"/>
      <c r="Y35" s="3262"/>
      <c r="Z35" s="1813" t="str">
        <f t="shared" si="15"/>
        <v>公共部分装修</v>
      </c>
      <c r="AA35" s="1810">
        <f t="shared" si="3"/>
        <v>1</v>
      </c>
      <c r="AB35" s="1810">
        <f t="shared" si="4"/>
        <v>1</v>
      </c>
      <c r="AC35" s="1810">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60"/>
      <c r="Q36" s="1809" t="str">
        <f t="shared" si="11"/>
        <v>成新度</v>
      </c>
      <c r="R36" s="774" t="s">
        <v>17</v>
      </c>
      <c r="S36" s="775" t="e">
        <f t="shared" si="12"/>
        <v>#N/A</v>
      </c>
      <c r="T36" s="774" t="s">
        <v>17</v>
      </c>
      <c r="U36" s="775" t="e">
        <f t="shared" si="13"/>
        <v>#N/A</v>
      </c>
      <c r="V36" s="774" t="s">
        <v>17</v>
      </c>
      <c r="W36" s="775" t="e">
        <f t="shared" si="14"/>
        <v>#N/A</v>
      </c>
      <c r="X36" s="1812"/>
      <c r="Y36" s="3262"/>
      <c r="Z36" s="1813" t="str">
        <f t="shared" si="15"/>
        <v>成新度</v>
      </c>
      <c r="AA36" s="1810" t="e">
        <f t="shared" si="3"/>
        <v>#N/A</v>
      </c>
      <c r="AB36" s="1810" t="e">
        <f t="shared" si="4"/>
        <v>#N/A</v>
      </c>
      <c r="AC36" s="1810" t="e">
        <f t="shared" si="5"/>
        <v>#N/A</v>
      </c>
    </row>
    <row r="37" spans="1:29" s="117" customFormat="1" ht="15">
      <c r="A37" s="473"/>
      <c r="B37" s="422" t="s">
        <v>2660</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2"/>
      <c r="M37" s="1133"/>
      <c r="N37" s="1133"/>
      <c r="O37" s="1133"/>
      <c r="P37" s="3260"/>
      <c r="Q37" s="1794" t="str">
        <f t="shared" si="11"/>
        <v>市政基础设施</v>
      </c>
      <c r="R37" s="770" t="s">
        <v>17</v>
      </c>
      <c r="S37" s="771">
        <f t="shared" si="12"/>
        <v>100</v>
      </c>
      <c r="T37" s="770" t="s">
        <v>17</v>
      </c>
      <c r="U37" s="771">
        <f t="shared" si="13"/>
        <v>100</v>
      </c>
      <c r="V37" s="770" t="s">
        <v>17</v>
      </c>
      <c r="W37" s="771">
        <f t="shared" si="14"/>
        <v>100</v>
      </c>
      <c r="X37" s="772"/>
      <c r="Y37" s="3262"/>
      <c r="Z37" s="55" t="str">
        <f t="shared" si="15"/>
        <v>市政基础设施</v>
      </c>
      <c r="AA37" s="773">
        <f t="shared" si="3"/>
        <v>1</v>
      </c>
      <c r="AB37" s="773">
        <f t="shared" si="4"/>
        <v>1</v>
      </c>
      <c r="AC37" s="773">
        <f t="shared" si="5"/>
        <v>1</v>
      </c>
    </row>
    <row r="38" spans="1:29" ht="15">
      <c r="A38" s="472"/>
      <c r="B38" s="422" t="s">
        <v>2661</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260" t="s">
        <v>2562</v>
      </c>
      <c r="Q38" s="1809" t="str">
        <f t="shared" si="11"/>
        <v>业态</v>
      </c>
      <c r="R38" s="774" t="s">
        <v>17</v>
      </c>
      <c r="S38" s="775">
        <f t="shared" si="12"/>
        <v>100</v>
      </c>
      <c r="T38" s="774" t="s">
        <v>17</v>
      </c>
      <c r="U38" s="775">
        <f t="shared" si="13"/>
        <v>100</v>
      </c>
      <c r="V38" s="774" t="s">
        <v>17</v>
      </c>
      <c r="W38" s="775">
        <f t="shared" si="14"/>
        <v>100</v>
      </c>
      <c r="X38" s="1812"/>
      <c r="Y38" s="3262" t="s">
        <v>2562</v>
      </c>
      <c r="Z38" s="1813" t="str">
        <f t="shared" si="15"/>
        <v>业态</v>
      </c>
      <c r="AA38" s="1810">
        <f t="shared" si="3"/>
        <v>1</v>
      </c>
      <c r="AB38" s="1810">
        <f t="shared" si="4"/>
        <v>1</v>
      </c>
      <c r="AC38" s="1810">
        <f t="shared" si="5"/>
        <v>1</v>
      </c>
    </row>
    <row r="39" spans="1:29" ht="15">
      <c r="A39" s="472"/>
      <c r="B39" s="422" t="s">
        <v>2662</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0"/>
      <c r="M39" s="1131"/>
      <c r="N39" s="1131"/>
      <c r="O39" s="1131"/>
      <c r="P39" s="3260"/>
      <c r="Q39" s="1809" t="str">
        <f t="shared" si="11"/>
        <v>层高</v>
      </c>
      <c r="R39" s="774" t="s">
        <v>17</v>
      </c>
      <c r="S39" s="775">
        <f t="shared" si="12"/>
        <v>100</v>
      </c>
      <c r="T39" s="774" t="s">
        <v>17</v>
      </c>
      <c r="U39" s="775">
        <f t="shared" si="13"/>
        <v>100</v>
      </c>
      <c r="V39" s="774" t="s">
        <v>17</v>
      </c>
      <c r="W39" s="775">
        <f t="shared" si="14"/>
        <v>100</v>
      </c>
      <c r="X39" s="1812"/>
      <c r="Y39" s="3262"/>
      <c r="Z39" s="1813" t="str">
        <f t="shared" si="15"/>
        <v>层高</v>
      </c>
      <c r="AA39" s="1810">
        <f t="shared" si="3"/>
        <v>1</v>
      </c>
      <c r="AB39" s="1810">
        <f t="shared" si="4"/>
        <v>1</v>
      </c>
      <c r="AC39" s="1810">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0"/>
      <c r="Q40" s="1809" t="str">
        <f t="shared" si="11"/>
        <v>单套建筑面积</v>
      </c>
      <c r="R40" s="774" t="s">
        <v>17</v>
      </c>
      <c r="S40" s="775">
        <f t="shared" si="12"/>
        <v>100</v>
      </c>
      <c r="T40" s="774" t="s">
        <v>17</v>
      </c>
      <c r="U40" s="775">
        <f t="shared" si="13"/>
        <v>100</v>
      </c>
      <c r="V40" s="774" t="s">
        <v>17</v>
      </c>
      <c r="W40" s="775">
        <f t="shared" si="14"/>
        <v>100</v>
      </c>
      <c r="X40" s="1812"/>
      <c r="Y40" s="3262"/>
      <c r="Z40" s="1813" t="str">
        <f t="shared" si="15"/>
        <v>单套建筑面积</v>
      </c>
      <c r="AA40" s="1810">
        <f t="shared" si="3"/>
        <v>1</v>
      </c>
      <c r="AB40" s="1810">
        <f t="shared" si="4"/>
        <v>1</v>
      </c>
      <c r="AC40" s="1810">
        <f t="shared" si="5"/>
        <v>1</v>
      </c>
    </row>
    <row r="41" spans="1:29" s="471" customFormat="1" ht="15">
      <c r="A41" s="468"/>
      <c r="B41" s="1811"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0"/>
      <c r="Q41" s="776" t="str">
        <f t="shared" si="11"/>
        <v>进深比</v>
      </c>
      <c r="R41" s="777" t="s">
        <v>17</v>
      </c>
      <c r="S41" s="778">
        <f t="shared" si="12"/>
        <v>100</v>
      </c>
      <c r="T41" s="777" t="s">
        <v>17</v>
      </c>
      <c r="U41" s="778">
        <f t="shared" si="13"/>
        <v>100</v>
      </c>
      <c r="V41" s="777" t="s">
        <v>17</v>
      </c>
      <c r="W41" s="778">
        <f t="shared" si="14"/>
        <v>100</v>
      </c>
      <c r="X41" s="779"/>
      <c r="Y41" s="3262"/>
      <c r="Z41" s="780" t="str">
        <f t="shared" si="15"/>
        <v>进深比</v>
      </c>
      <c r="AA41" s="1810">
        <f t="shared" si="3"/>
        <v>1</v>
      </c>
      <c r="AB41" s="1810">
        <f t="shared" si="4"/>
        <v>1</v>
      </c>
      <c r="AC41" s="1810">
        <f t="shared" si="5"/>
        <v>1</v>
      </c>
    </row>
    <row r="42" spans="1:29" ht="15">
      <c r="A42" s="472"/>
      <c r="B42" s="422" t="s">
        <v>2665</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0"/>
      <c r="M42" s="1131"/>
      <c r="N42" s="1131"/>
      <c r="O42" s="1131"/>
      <c r="P42" s="3260"/>
      <c r="Q42" s="1809" t="str">
        <f t="shared" si="11"/>
        <v>内部装修</v>
      </c>
      <c r="R42" s="774" t="s">
        <v>17</v>
      </c>
      <c r="S42" s="775">
        <f t="shared" si="12"/>
        <v>100</v>
      </c>
      <c r="T42" s="774" t="s">
        <v>17</v>
      </c>
      <c r="U42" s="775">
        <f t="shared" si="13"/>
        <v>100</v>
      </c>
      <c r="V42" s="774" t="s">
        <v>17</v>
      </c>
      <c r="W42" s="775">
        <f t="shared" si="14"/>
        <v>100</v>
      </c>
      <c r="X42" s="1812"/>
      <c r="Y42" s="3262"/>
      <c r="Z42" s="1813" t="str">
        <f t="shared" si="15"/>
        <v>内部装修</v>
      </c>
      <c r="AA42" s="1810">
        <f t="shared" si="3"/>
        <v>1</v>
      </c>
      <c r="AB42" s="1810">
        <f t="shared" si="4"/>
        <v>1</v>
      </c>
      <c r="AC42" s="1810">
        <f t="shared" si="5"/>
        <v>1</v>
      </c>
    </row>
    <row r="43" spans="1:29" ht="15">
      <c r="A43" s="472"/>
      <c r="B43" s="422" t="s">
        <v>2573</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0"/>
      <c r="M43" s="1131"/>
      <c r="N43" s="1131"/>
      <c r="O43" s="1131"/>
      <c r="P43" s="3260"/>
      <c r="Q43" s="1809" t="str">
        <f t="shared" si="11"/>
        <v>内部装修维护情况</v>
      </c>
      <c r="R43" s="774" t="s">
        <v>17</v>
      </c>
      <c r="S43" s="775">
        <f t="shared" si="12"/>
        <v>100</v>
      </c>
      <c r="T43" s="774" t="s">
        <v>17</v>
      </c>
      <c r="U43" s="775">
        <f t="shared" si="13"/>
        <v>100</v>
      </c>
      <c r="V43" s="774" t="s">
        <v>17</v>
      </c>
      <c r="W43" s="775">
        <f t="shared" si="14"/>
        <v>100</v>
      </c>
      <c r="X43" s="1812"/>
      <c r="Y43" s="3262"/>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0"/>
      <c r="Q44" s="1794">
        <f t="shared" si="11"/>
        <v>111</v>
      </c>
      <c r="R44" s="770" t="s">
        <v>17</v>
      </c>
      <c r="S44" s="771">
        <f t="shared" si="12"/>
        <v>100</v>
      </c>
      <c r="T44" s="770" t="s">
        <v>17</v>
      </c>
      <c r="U44" s="771">
        <f t="shared" si="13"/>
        <v>100</v>
      </c>
      <c r="V44" s="770" t="s">
        <v>17</v>
      </c>
      <c r="W44" s="771">
        <f t="shared" si="14"/>
        <v>100</v>
      </c>
      <c r="X44" s="772"/>
      <c r="Y44" s="326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0"/>
      <c r="Q45" s="1809">
        <f t="shared" si="11"/>
        <v>111</v>
      </c>
      <c r="R45" s="774" t="s">
        <v>17</v>
      </c>
      <c r="S45" s="775">
        <f t="shared" si="12"/>
        <v>100</v>
      </c>
      <c r="T45" s="774" t="s">
        <v>17</v>
      </c>
      <c r="U45" s="775">
        <f t="shared" si="13"/>
        <v>100</v>
      </c>
      <c r="V45" s="774" t="s">
        <v>17</v>
      </c>
      <c r="W45" s="775">
        <f t="shared" si="14"/>
        <v>100</v>
      </c>
      <c r="X45" s="1812"/>
      <c r="Y45" s="3262"/>
      <c r="Z45" s="1813">
        <f t="shared" si="15"/>
        <v>111</v>
      </c>
      <c r="AA45" s="1810">
        <f t="shared" si="3"/>
        <v>1</v>
      </c>
      <c r="AB45" s="1810">
        <f t="shared" si="4"/>
        <v>1</v>
      </c>
      <c r="AC45" s="1810">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1"/>
      <c r="Q46" s="1809">
        <f t="shared" si="11"/>
        <v>111</v>
      </c>
      <c r="R46" s="774" t="s">
        <v>17</v>
      </c>
      <c r="S46" s="775">
        <f t="shared" si="12"/>
        <v>100</v>
      </c>
      <c r="T46" s="774" t="s">
        <v>17</v>
      </c>
      <c r="U46" s="775">
        <f t="shared" si="13"/>
        <v>100</v>
      </c>
      <c r="V46" s="774" t="s">
        <v>17</v>
      </c>
      <c r="W46" s="775">
        <f t="shared" si="14"/>
        <v>100</v>
      </c>
      <c r="X46" s="1812"/>
      <c r="Y46" s="3263"/>
      <c r="Z46" s="1813">
        <f t="shared" si="15"/>
        <v>111</v>
      </c>
      <c r="AA46" s="1810">
        <f t="shared" si="3"/>
        <v>1</v>
      </c>
      <c r="AB46" s="1810">
        <f t="shared" si="4"/>
        <v>1</v>
      </c>
      <c r="AC46" s="1810">
        <f t="shared" si="5"/>
        <v>1</v>
      </c>
    </row>
    <row r="47" spans="1:29" ht="15">
      <c r="A47" s="479" t="s">
        <v>2574</v>
      </c>
      <c r="B47" s="480"/>
      <c r="C47" s="1407" t="s">
        <v>1</v>
      </c>
      <c r="D47" s="1408"/>
      <c r="E47" s="1409"/>
      <c r="F47" s="1410"/>
      <c r="G47" s="1411"/>
      <c r="H47" s="1412"/>
      <c r="I47" s="1409"/>
      <c r="J47" s="1412"/>
      <c r="K47" s="783"/>
      <c r="L47" s="1143"/>
      <c r="M47" s="1144"/>
      <c r="N47" s="1131"/>
      <c r="O47" s="1144"/>
      <c r="P47" s="3255" t="str">
        <f>A47</f>
        <v>成交单价（元/平方米）</v>
      </c>
      <c r="Q47" s="3255"/>
      <c r="R47" s="3250">
        <f>E47</f>
        <v>0</v>
      </c>
      <c r="S47" s="3250"/>
      <c r="T47" s="3250">
        <f>G47</f>
        <v>0</v>
      </c>
      <c r="U47" s="3250"/>
      <c r="V47" s="3250">
        <f>I47</f>
        <v>0</v>
      </c>
      <c r="W47" s="3250"/>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255" t="str">
        <f>A48</f>
        <v>比较价值（元/平方米）</v>
      </c>
      <c r="Q48" s="3255"/>
      <c r="R48" s="3256" t="e">
        <f>IF(F1="售价",ROUND(PRODUCT(R47,AA7:AA46),0),ROUND(PRODUCT(R47,AA7:AA46),1))</f>
        <v>#DIV/0!</v>
      </c>
      <c r="S48" s="3256"/>
      <c r="T48" s="3256" t="e">
        <f>IF(F1="售价",ROUND(PRODUCT(T47,AB7:AB46),0),ROUND(PRODUCT(T47,AB7:AB46),1))</f>
        <v>#DIV/0!</v>
      </c>
      <c r="U48" s="3256"/>
      <c r="V48" s="3256" t="e">
        <f>IF(F1="售价",ROUND(PRODUCT(V47,AC7:AC46),0),ROUND(PRODUCT(V47,AC7:AC46),1))</f>
        <v>#DIV/0!</v>
      </c>
      <c r="W48" s="3256"/>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252" t="str">
        <f>A49</f>
        <v>估价对象XX用房的比较价值（楼面单价，元/平方米）</v>
      </c>
      <c r="Q49" s="3253"/>
      <c r="R49" s="3254" t="e">
        <f>IF(F1="售价",ROUND(AVERAGE(R48:V48),0),ROUND(AVERAGE(R48:V48),1))</f>
        <v>#DIV/0!</v>
      </c>
      <c r="S49" s="3254"/>
      <c r="T49" s="3254"/>
      <c r="U49" s="3254"/>
      <c r="V49" s="3254"/>
      <c r="W49" s="325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64"/>
      <c r="Q57" s="2665"/>
      <c r="R57" s="759"/>
      <c r="S57" s="759"/>
      <c r="T57" s="759"/>
      <c r="U57" s="759"/>
      <c r="V57" s="759"/>
      <c r="W57" s="759"/>
      <c r="X57" s="759"/>
      <c r="Y57" s="759"/>
      <c r="Z57" s="759"/>
      <c r="AA57" s="759"/>
      <c r="AB57" s="759"/>
      <c r="AC57" s="759"/>
    </row>
    <row r="58" spans="1:29" s="508" customFormat="1" ht="15">
      <c r="A58" s="505" t="s">
        <v>2545</v>
      </c>
      <c r="B58" s="506"/>
      <c r="C58" s="1574" t="str">
        <f>YEAR(C7)&amp;"-"&amp;MONTH(C7)</f>
        <v>2020-3</v>
      </c>
      <c r="D58" s="1575">
        <f>EDATE(C58,-1)</f>
        <v>43862</v>
      </c>
      <c r="E58" s="1575">
        <f t="shared" ref="E58:N58" si="16">EDATE(D58,-1)</f>
        <v>43831</v>
      </c>
      <c r="F58" s="1575">
        <f t="shared" si="16"/>
        <v>43800</v>
      </c>
      <c r="G58" s="1575">
        <f t="shared" si="16"/>
        <v>43770</v>
      </c>
      <c r="H58" s="1575">
        <f t="shared" si="16"/>
        <v>43739</v>
      </c>
      <c r="I58" s="1575">
        <f t="shared" si="16"/>
        <v>43709</v>
      </c>
      <c r="J58" s="1575">
        <f t="shared" si="16"/>
        <v>43678</v>
      </c>
      <c r="K58" s="1575">
        <f t="shared" si="16"/>
        <v>43647</v>
      </c>
      <c r="L58" s="1575">
        <f t="shared" si="16"/>
        <v>43617</v>
      </c>
      <c r="M58" s="1575">
        <f t="shared" si="16"/>
        <v>43586</v>
      </c>
      <c r="N58" s="1575">
        <f t="shared" si="16"/>
        <v>43556</v>
      </c>
      <c r="O58" s="1575">
        <f>EDATE(N58,-1)</f>
        <v>43525</v>
      </c>
      <c r="P58" s="1570"/>
    </row>
    <row r="59" spans="1:29" s="117" customFormat="1" ht="15">
      <c r="A59" s="509"/>
      <c r="B59" s="510"/>
      <c r="C59" s="1573">
        <v>100</v>
      </c>
      <c r="D59" s="512"/>
      <c r="E59" s="512"/>
      <c r="F59" s="512"/>
      <c r="G59" s="512"/>
      <c r="H59" s="512"/>
      <c r="I59" s="512"/>
      <c r="J59" s="512"/>
      <c r="K59" s="512"/>
      <c r="L59" s="512"/>
      <c r="M59" s="513"/>
      <c r="N59" s="512"/>
      <c r="O59" s="513"/>
      <c r="P59" s="2625"/>
    </row>
    <row r="60" spans="1:29" s="117" customFormat="1" ht="15.75" thickBot="1">
      <c r="A60" s="515" t="s">
        <v>2582</v>
      </c>
      <c r="B60" s="516"/>
      <c r="C60" s="517"/>
      <c r="D60" s="518"/>
      <c r="E60" s="518"/>
      <c r="F60" s="518"/>
      <c r="G60" s="518"/>
      <c r="H60" s="518"/>
      <c r="I60" s="518"/>
      <c r="J60" s="518"/>
      <c r="K60" s="518"/>
      <c r="L60" s="518"/>
      <c r="M60" s="519"/>
      <c r="N60" s="518"/>
      <c r="O60" s="519"/>
      <c r="P60" s="2625"/>
      <c r="Q60" s="504"/>
    </row>
    <row r="61" spans="1:29" s="117" customFormat="1" ht="15">
      <c r="A61" s="521" t="s">
        <v>2547</v>
      </c>
      <c r="B61" s="510"/>
      <c r="C61" s="522" t="s">
        <v>2649</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2585</v>
      </c>
      <c r="B63" s="528" t="s">
        <v>2551</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7"/>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36"/>
      <c r="E73" s="536"/>
      <c r="F73" s="536"/>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7"/>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2677</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1"/>
      <c r="O88" s="1151"/>
      <c r="P88" s="2627"/>
      <c r="Q88" s="504"/>
    </row>
    <row r="89" spans="1:17" s="117" customFormat="1" ht="15.75" thickBot="1">
      <c r="A89" s="579"/>
      <c r="B89" s="543"/>
      <c r="C89" s="560"/>
      <c r="D89" s="536"/>
      <c r="E89" s="536"/>
      <c r="F89" s="536"/>
      <c r="G89" s="536"/>
      <c r="H89" s="536"/>
      <c r="I89" s="536"/>
      <c r="J89" s="536"/>
      <c r="K89" s="536"/>
      <c r="L89" s="536"/>
      <c r="M89" s="536"/>
      <c r="N89" s="1153"/>
      <c r="O89" s="1153"/>
      <c r="P89" s="2627"/>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8"/>
      <c r="Q91" s="559"/>
    </row>
    <row r="92" spans="1:17" ht="15.75" thickTop="1">
      <c r="A92" s="534"/>
      <c r="B92" s="538" t="str">
        <f>B28</f>
        <v>楼层</v>
      </c>
      <c r="C92" s="554"/>
      <c r="D92" s="554"/>
      <c r="E92" s="554"/>
      <c r="F92" s="554"/>
      <c r="G92" s="554"/>
      <c r="H92" s="554"/>
      <c r="I92" s="554"/>
      <c r="J92" s="554"/>
      <c r="K92" s="554"/>
      <c r="L92" s="580"/>
      <c r="M92" s="581"/>
      <c r="N92" s="1152"/>
      <c r="O92" s="1152"/>
      <c r="P92" s="2627"/>
      <c r="Q92" s="504"/>
    </row>
    <row r="93" spans="1:17" ht="15.75" thickBot="1">
      <c r="A93" s="534"/>
      <c r="B93" s="543"/>
      <c r="C93" s="536"/>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36"/>
      <c r="E95" s="536"/>
      <c r="F95" s="536"/>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60"/>
      <c r="D97" s="536"/>
      <c r="E97" s="536"/>
      <c r="F97" s="536"/>
      <c r="G97" s="536"/>
      <c r="H97" s="536"/>
      <c r="I97" s="536"/>
      <c r="J97" s="536"/>
      <c r="K97" s="536"/>
      <c r="L97" s="536"/>
      <c r="M97" s="537"/>
      <c r="N97" s="1153"/>
      <c r="O97" s="1153"/>
      <c r="P97" s="2627"/>
      <c r="Q97" s="504"/>
    </row>
    <row r="98" spans="1:17" ht="15.75" thickTop="1">
      <c r="A98" s="534"/>
      <c r="B98" s="546">
        <f>B31</f>
        <v>111</v>
      </c>
      <c r="C98" s="554"/>
      <c r="D98" s="554"/>
      <c r="E98" s="554"/>
      <c r="F98" s="554"/>
      <c r="G98" s="587"/>
      <c r="H98" s="587"/>
      <c r="I98" s="587"/>
      <c r="J98" s="587"/>
      <c r="K98" s="588"/>
      <c r="L98" s="589"/>
      <c r="M98" s="590"/>
      <c r="N98" s="1152"/>
      <c r="O98" s="1152"/>
      <c r="P98" s="2627"/>
      <c r="Q98" s="504"/>
    </row>
    <row r="99" spans="1:17" ht="15.75" thickBot="1">
      <c r="A99" s="2633"/>
      <c r="B99" s="569"/>
      <c r="C99" s="570"/>
      <c r="D99" s="570"/>
      <c r="E99" s="570"/>
      <c r="F99" s="570"/>
      <c r="G99" s="591"/>
      <c r="H99" s="591"/>
      <c r="I99" s="591"/>
      <c r="J99" s="591"/>
      <c r="K99" s="591"/>
      <c r="L99" s="591"/>
      <c r="M99" s="592"/>
      <c r="N99" s="1153"/>
      <c r="O99" s="1153"/>
      <c r="P99" s="2627"/>
      <c r="Q99" s="504"/>
    </row>
    <row r="100" spans="1:17">
      <c r="A100" s="527" t="s">
        <v>2560</v>
      </c>
      <c r="B100" s="528" t="s">
        <v>2678</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7"/>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8"/>
      <c r="Q104" s="559"/>
    </row>
    <row r="105" spans="1:17" ht="15" thickTop="1">
      <c r="A105" s="599"/>
      <c r="B105" s="538" t="s">
        <v>2611</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7"/>
      <c r="Q106" s="504"/>
    </row>
    <row r="107" spans="1:17" ht="15" thickTop="1">
      <c r="A107" s="599"/>
      <c r="B107" s="538" t="s">
        <v>2613</v>
      </c>
      <c r="C107" s="554"/>
      <c r="D107" s="554"/>
      <c r="E107" s="554"/>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7"/>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7"/>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8"/>
      <c r="Q113" s="559"/>
    </row>
    <row r="114" spans="1:17" ht="15" thickTop="1">
      <c r="A114" s="599"/>
      <c r="B114" s="538" t="s">
        <v>2679</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7"/>
      <c r="Q115" s="504"/>
    </row>
    <row r="116" spans="1:17" ht="15" thickTop="1">
      <c r="A116" s="599"/>
      <c r="B116" s="538" t="s">
        <v>2680</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2681</v>
      </c>
      <c r="C118" s="627"/>
      <c r="D118" s="627"/>
      <c r="E118" s="627"/>
      <c r="F118" s="627"/>
      <c r="G118" s="627"/>
      <c r="H118" s="555"/>
      <c r="I118" s="555"/>
      <c r="J118" s="555"/>
      <c r="K118" s="555"/>
      <c r="L118" s="556"/>
      <c r="M118" s="557"/>
      <c r="N118" s="1152"/>
      <c r="O118" s="1152"/>
      <c r="P118" s="2627"/>
      <c r="Q118" s="504"/>
    </row>
    <row r="119" spans="1:17" ht="15.75" thickBot="1">
      <c r="A119" s="534"/>
      <c r="B119" s="543"/>
      <c r="C119" s="560"/>
      <c r="D119" s="536"/>
      <c r="E119" s="536"/>
      <c r="F119" s="536"/>
      <c r="G119" s="536"/>
      <c r="H119" s="536"/>
      <c r="I119" s="536"/>
      <c r="J119" s="536"/>
      <c r="K119" s="536"/>
      <c r="L119" s="536"/>
      <c r="M119" s="537"/>
      <c r="N119" s="1153"/>
      <c r="O119" s="1153"/>
      <c r="P119" s="2627"/>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8"/>
      <c r="Q121" s="559"/>
    </row>
    <row r="122" spans="1:17" ht="15" thickTop="1">
      <c r="A122" s="599"/>
      <c r="B122" s="538" t="s">
        <v>2617</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7"/>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36"/>
      <c r="E129" s="536"/>
      <c r="F129" s="536"/>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66" t="s">
        <v>2683</v>
      </c>
      <c r="C1" s="1620" t="s">
        <v>2527</v>
      </c>
      <c r="D1" s="1621"/>
      <c r="E1" s="1630"/>
      <c r="F1" s="2581"/>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IF(C2="——",ROUND(C50*D3/10000,0),ROUND(C50*D3/10000,0)-D2)</f>
        <v>#DIV/0!</v>
      </c>
      <c r="C2" s="2583"/>
      <c r="D2" s="1365" t="e">
        <f ca="1">SUMIF(INDIRECT("'"&amp;F2&amp;"'"&amp;"!A:A"),"承租人权益价值",INDIRECT("'"&amp;F2&amp;"'"&amp;"!c:c"))</f>
        <v>#REF!</v>
      </c>
      <c r="E2" s="2584" t="s">
        <v>2325</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51328.59</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238" t="s">
        <v>2643</v>
      </c>
      <c r="D4" s="3239"/>
      <c r="E4" s="3240" t="s">
        <v>2644</v>
      </c>
      <c r="F4" s="3241"/>
      <c r="G4" s="3238" t="s">
        <v>2645</v>
      </c>
      <c r="H4" s="3239"/>
      <c r="I4" s="3238" t="s">
        <v>2646</v>
      </c>
      <c r="J4" s="3239"/>
      <c r="K4" s="610" t="s">
        <v>2647</v>
      </c>
      <c r="L4" s="1130"/>
      <c r="M4" s="1131"/>
      <c r="N4" s="1131"/>
      <c r="O4" s="1131"/>
      <c r="P4" s="3272" t="s">
        <v>2648</v>
      </c>
      <c r="Q4" s="3273"/>
      <c r="R4" s="3267" t="s">
        <v>2644</v>
      </c>
      <c r="S4" s="3268"/>
      <c r="T4" s="3267" t="s">
        <v>2645</v>
      </c>
      <c r="U4" s="3268"/>
      <c r="V4" s="3276" t="s">
        <v>2646</v>
      </c>
      <c r="W4" s="3276"/>
      <c r="X4" s="2667"/>
      <c r="Y4" s="3267" t="s">
        <v>2648</v>
      </c>
      <c r="Z4" s="3268"/>
      <c r="AA4" s="3266" t="s">
        <v>2644</v>
      </c>
      <c r="AB4" s="3266" t="s">
        <v>2645</v>
      </c>
      <c r="AC4" s="3269" t="s">
        <v>2646</v>
      </c>
    </row>
    <row r="5" spans="1:29" ht="15">
      <c r="A5" s="404"/>
      <c r="B5" s="405"/>
      <c r="C5" s="3231" t="s">
        <v>2539</v>
      </c>
      <c r="D5" s="3232"/>
      <c r="E5" s="3229" t="s">
        <v>2540</v>
      </c>
      <c r="F5" s="3230"/>
      <c r="G5" s="3231" t="s">
        <v>2541</v>
      </c>
      <c r="H5" s="3232"/>
      <c r="I5" s="3231" t="s">
        <v>2542</v>
      </c>
      <c r="J5" s="3232"/>
      <c r="K5" s="610"/>
      <c r="L5" s="1130"/>
      <c r="M5" s="1131"/>
      <c r="N5" s="1131"/>
      <c r="O5" s="1131"/>
      <c r="P5" s="3274"/>
      <c r="Q5" s="3245"/>
      <c r="R5" s="3227"/>
      <c r="S5" s="3228"/>
      <c r="T5" s="3227"/>
      <c r="U5" s="3228"/>
      <c r="V5" s="3250"/>
      <c r="W5" s="3250"/>
      <c r="X5" s="1812"/>
      <c r="Y5" s="3227"/>
      <c r="Z5" s="3228"/>
      <c r="AA5" s="3221"/>
      <c r="AB5" s="3221"/>
      <c r="AC5" s="3270"/>
    </row>
    <row r="6" spans="1:29" ht="15.75" thickBot="1">
      <c r="A6" s="406"/>
      <c r="B6" s="407"/>
      <c r="C6" s="3233" t="s">
        <v>2543</v>
      </c>
      <c r="D6" s="3234"/>
      <c r="E6" s="3235" t="s">
        <v>2543</v>
      </c>
      <c r="F6" s="3236"/>
      <c r="G6" s="3233" t="s">
        <v>2543</v>
      </c>
      <c r="H6" s="3234"/>
      <c r="I6" s="3233" t="s">
        <v>2543</v>
      </c>
      <c r="J6" s="3234"/>
      <c r="K6" s="610" t="s">
        <v>2544</v>
      </c>
      <c r="L6" s="1130"/>
      <c r="M6" s="1131"/>
      <c r="N6" s="1131"/>
      <c r="O6" s="1131"/>
      <c r="P6" s="3275"/>
      <c r="Q6" s="3247"/>
      <c r="R6" s="3227"/>
      <c r="S6" s="3228"/>
      <c r="T6" s="3248"/>
      <c r="U6" s="3249"/>
      <c r="V6" s="3250"/>
      <c r="W6" s="3250"/>
      <c r="X6" s="1812"/>
      <c r="Y6" s="3248"/>
      <c r="Z6" s="3249"/>
      <c r="AA6" s="3222"/>
      <c r="AB6" s="3222"/>
      <c r="AC6" s="3271"/>
    </row>
    <row r="7" spans="1:29" s="117" customFormat="1" ht="15.75" thickBot="1">
      <c r="A7" s="408" t="s">
        <v>2545</v>
      </c>
      <c r="B7" s="409"/>
      <c r="C7" s="410">
        <f>'数据-取费表'!B2</f>
        <v>43902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7" t="s">
        <v>2546</v>
      </c>
      <c r="Q7" s="3251"/>
      <c r="R7" s="770" t="s">
        <v>17</v>
      </c>
      <c r="S7" s="771">
        <f t="shared" ref="S7:S15" si="0">F7</f>
        <v>0</v>
      </c>
      <c r="T7" s="770" t="s">
        <v>17</v>
      </c>
      <c r="U7" s="771">
        <f t="shared" ref="U7:U15" si="1">H7</f>
        <v>0</v>
      </c>
      <c r="V7" s="770" t="s">
        <v>17</v>
      </c>
      <c r="W7" s="771">
        <f t="shared" ref="W7:W15" si="2">J7</f>
        <v>0</v>
      </c>
      <c r="X7" s="772"/>
      <c r="Y7" s="3223" t="s">
        <v>2546</v>
      </c>
      <c r="Z7" s="3224"/>
      <c r="AA7" s="773" t="e">
        <f>D7/F7</f>
        <v>#DIV/0!</v>
      </c>
      <c r="AB7" s="773" t="e">
        <f>D7/H7</f>
        <v>#DIV/0!</v>
      </c>
      <c r="AC7" s="2668"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7" t="s">
        <v>2549</v>
      </c>
      <c r="Q8" s="3224"/>
      <c r="R8" s="770" t="s">
        <v>17</v>
      </c>
      <c r="S8" s="771">
        <f t="shared" si="0"/>
        <v>0</v>
      </c>
      <c r="T8" s="770" t="s">
        <v>17</v>
      </c>
      <c r="U8" s="771">
        <f t="shared" si="1"/>
        <v>0</v>
      </c>
      <c r="V8" s="770" t="s">
        <v>17</v>
      </c>
      <c r="W8" s="771">
        <f t="shared" si="2"/>
        <v>0</v>
      </c>
      <c r="X8" s="772"/>
      <c r="Y8" s="3223" t="s">
        <v>2549</v>
      </c>
      <c r="Z8" s="3224"/>
      <c r="AA8" s="773" t="e">
        <f t="shared" ref="AA8:AA47" si="3">D8/F8</f>
        <v>#DIV/0!</v>
      </c>
      <c r="AB8" s="773" t="e">
        <f t="shared" ref="AB8:AB47" si="4">D8/H8</f>
        <v>#DIV/0!</v>
      </c>
      <c r="AC8" s="2668"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37" t="s">
        <v>2552</v>
      </c>
      <c r="Q9" s="1794" t="str">
        <f t="shared" ref="Q9:Q15" si="6">B9</f>
        <v>用途</v>
      </c>
      <c r="R9" s="770" t="s">
        <v>17</v>
      </c>
      <c r="S9" s="771">
        <f t="shared" si="0"/>
        <v>100</v>
      </c>
      <c r="T9" s="770" t="s">
        <v>17</v>
      </c>
      <c r="U9" s="771">
        <f t="shared" si="1"/>
        <v>100</v>
      </c>
      <c r="V9" s="770" t="s">
        <v>17</v>
      </c>
      <c r="W9" s="771">
        <f t="shared" si="2"/>
        <v>100</v>
      </c>
      <c r="X9" s="772"/>
      <c r="Y9" s="3047" t="s">
        <v>2553</v>
      </c>
      <c r="Z9" s="55" t="str">
        <f t="shared" ref="Z9:Z15" si="7">Q9</f>
        <v>用途</v>
      </c>
      <c r="AA9" s="773">
        <f t="shared" si="3"/>
        <v>1</v>
      </c>
      <c r="AB9" s="773">
        <f t="shared" si="4"/>
        <v>1</v>
      </c>
      <c r="AC9" s="2668">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37"/>
      <c r="Q10" s="1794"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2668">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37"/>
      <c r="Q11" s="1794"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237"/>
      <c r="Q12" s="1794">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237"/>
      <c r="Q13" s="1794">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237"/>
      <c r="Q14" s="1794">
        <f t="shared" si="6"/>
        <v>111</v>
      </c>
      <c r="R14" s="770" t="s">
        <v>17</v>
      </c>
      <c r="S14" s="771">
        <f t="shared" si="0"/>
        <v>100</v>
      </c>
      <c r="T14" s="770" t="s">
        <v>17</v>
      </c>
      <c r="U14" s="771">
        <f t="shared" si="1"/>
        <v>100</v>
      </c>
      <c r="V14" s="770" t="s">
        <v>17</v>
      </c>
      <c r="W14" s="771">
        <f t="shared" si="2"/>
        <v>100</v>
      </c>
      <c r="X14" s="772"/>
      <c r="Y14" s="3047"/>
      <c r="Z14" s="55">
        <f t="shared" si="7"/>
        <v>111</v>
      </c>
      <c r="AA14" s="773">
        <f t="shared" si="3"/>
        <v>1</v>
      </c>
      <c r="AB14" s="773">
        <f t="shared" si="4"/>
        <v>1</v>
      </c>
      <c r="AC14" s="2668">
        <f t="shared" si="5"/>
        <v>1</v>
      </c>
    </row>
    <row r="15" spans="1:29" ht="71.25">
      <c r="A15" s="440" t="s">
        <v>2556</v>
      </c>
      <c r="B15" s="629" t="s">
        <v>2684</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4" t="s">
        <v>2557</v>
      </c>
      <c r="Q15" s="1809" t="str">
        <f t="shared" si="6"/>
        <v>办公集聚程度</v>
      </c>
      <c r="R15" s="774" t="s">
        <v>17</v>
      </c>
      <c r="S15" s="775">
        <f t="shared" si="0"/>
        <v>100</v>
      </c>
      <c r="T15" s="774" t="s">
        <v>17</v>
      </c>
      <c r="U15" s="775">
        <f t="shared" si="1"/>
        <v>100</v>
      </c>
      <c r="V15" s="774" t="s">
        <v>17</v>
      </c>
      <c r="W15" s="775">
        <f t="shared" si="2"/>
        <v>100</v>
      </c>
      <c r="X15" s="1812"/>
      <c r="Y15" s="3257" t="s">
        <v>2557</v>
      </c>
      <c r="Z15" s="1813" t="str">
        <f t="shared" si="7"/>
        <v>办公集聚程度</v>
      </c>
      <c r="AA15" s="1810">
        <f t="shared" si="3"/>
        <v>1</v>
      </c>
      <c r="AB15" s="1810">
        <f t="shared" si="4"/>
        <v>1</v>
      </c>
      <c r="AC15" s="2671">
        <f t="shared" si="5"/>
        <v>1</v>
      </c>
    </row>
    <row r="16" spans="1:29" ht="15">
      <c r="A16" s="428"/>
      <c r="B16" s="630"/>
      <c r="C16" s="2608"/>
      <c r="D16" s="448"/>
      <c r="E16" s="447"/>
      <c r="F16" s="448"/>
      <c r="G16" s="2608"/>
      <c r="H16" s="450"/>
      <c r="I16" s="447"/>
      <c r="J16" s="448"/>
      <c r="K16" s="615"/>
      <c r="L16" s="1140"/>
      <c r="M16" s="1131"/>
      <c r="N16" s="1131"/>
      <c r="O16" s="1131"/>
      <c r="P16" s="3265"/>
      <c r="Q16" s="1809"/>
      <c r="R16" s="774"/>
      <c r="S16" s="775"/>
      <c r="T16" s="774"/>
      <c r="U16" s="775"/>
      <c r="V16" s="774"/>
      <c r="W16" s="775"/>
      <c r="X16" s="1812"/>
      <c r="Y16" s="3258"/>
      <c r="Z16" s="1813"/>
      <c r="AA16" s="1810">
        <v>1</v>
      </c>
      <c r="AB16" s="1810">
        <v>1</v>
      </c>
      <c r="AC16" s="2671">
        <v>1</v>
      </c>
    </row>
    <row r="17" spans="1:29" ht="71.25">
      <c r="A17" s="428"/>
      <c r="B17" s="631" t="s">
        <v>2093</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5"/>
      <c r="Q17" s="1809" t="str">
        <f>B17</f>
        <v>交通便捷度</v>
      </c>
      <c r="R17" s="774" t="s">
        <v>17</v>
      </c>
      <c r="S17" s="775">
        <f>F17</f>
        <v>100</v>
      </c>
      <c r="T17" s="774" t="s">
        <v>17</v>
      </c>
      <c r="U17" s="775">
        <f>H17</f>
        <v>100</v>
      </c>
      <c r="V17" s="774" t="s">
        <v>17</v>
      </c>
      <c r="W17" s="775">
        <f>J17</f>
        <v>100</v>
      </c>
      <c r="X17" s="1812"/>
      <c r="Y17" s="3258"/>
      <c r="Z17" s="1813" t="str">
        <f>Q17</f>
        <v>交通便捷度</v>
      </c>
      <c r="AA17" s="1810">
        <f t="shared" si="3"/>
        <v>1</v>
      </c>
      <c r="AB17" s="1810">
        <f t="shared" si="4"/>
        <v>1</v>
      </c>
      <c r="AC17" s="2671">
        <f t="shared" si="5"/>
        <v>1</v>
      </c>
    </row>
    <row r="18" spans="1:29" ht="15">
      <c r="A18" s="428"/>
      <c r="B18" s="632"/>
      <c r="C18" s="2673"/>
      <c r="D18" s="450"/>
      <c r="E18" s="2606"/>
      <c r="F18" s="450"/>
      <c r="G18" s="2607"/>
      <c r="H18" s="448"/>
      <c r="I18" s="2607"/>
      <c r="J18" s="448"/>
      <c r="K18" s="615"/>
      <c r="L18" s="1140"/>
      <c r="M18" s="1131"/>
      <c r="N18" s="1131"/>
      <c r="O18" s="1131"/>
      <c r="P18" s="3265"/>
      <c r="Q18" s="1809"/>
      <c r="R18" s="774"/>
      <c r="S18" s="775"/>
      <c r="T18" s="774"/>
      <c r="U18" s="775"/>
      <c r="V18" s="774"/>
      <c r="W18" s="775"/>
      <c r="X18" s="1812"/>
      <c r="Y18" s="3258"/>
      <c r="Z18" s="1813"/>
      <c r="AA18" s="1810">
        <v>1</v>
      </c>
      <c r="AB18" s="1810">
        <v>1</v>
      </c>
      <c r="AC18" s="2671">
        <v>1</v>
      </c>
    </row>
    <row r="19" spans="1:29" ht="42.75">
      <c r="A19" s="428"/>
      <c r="B19" s="631" t="s">
        <v>2685</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5"/>
      <c r="Q19" s="1809" t="str">
        <f>B19</f>
        <v>公共配套设施</v>
      </c>
      <c r="R19" s="774" t="s">
        <v>17</v>
      </c>
      <c r="S19" s="775">
        <f>F19</f>
        <v>100</v>
      </c>
      <c r="T19" s="774" t="s">
        <v>17</v>
      </c>
      <c r="U19" s="775">
        <f>H19</f>
        <v>100</v>
      </c>
      <c r="V19" s="774" t="s">
        <v>17</v>
      </c>
      <c r="W19" s="775">
        <f>J19</f>
        <v>100</v>
      </c>
      <c r="X19" s="1812"/>
      <c r="Y19" s="3258"/>
      <c r="Z19" s="1813" t="str">
        <f>Q19</f>
        <v>公共配套设施</v>
      </c>
      <c r="AA19" s="1810">
        <f t="shared" si="3"/>
        <v>1</v>
      </c>
      <c r="AB19" s="1810">
        <f t="shared" si="4"/>
        <v>1</v>
      </c>
      <c r="AC19" s="2671">
        <f t="shared" si="5"/>
        <v>1</v>
      </c>
    </row>
    <row r="20" spans="1:29" ht="15">
      <c r="A20" s="428"/>
      <c r="B20" s="632"/>
      <c r="C20" s="2608"/>
      <c r="D20" s="448"/>
      <c r="E20" s="2601"/>
      <c r="F20" s="448"/>
      <c r="G20" s="2602"/>
      <c r="H20" s="448"/>
      <c r="I20" s="2602"/>
      <c r="J20" s="448"/>
      <c r="K20" s="615"/>
      <c r="L20" s="1140"/>
      <c r="M20" s="1131"/>
      <c r="N20" s="1131"/>
      <c r="O20" s="1131"/>
      <c r="P20" s="3265"/>
      <c r="Q20" s="1809"/>
      <c r="R20" s="774"/>
      <c r="S20" s="775"/>
      <c r="T20" s="774"/>
      <c r="U20" s="775"/>
      <c r="V20" s="774"/>
      <c r="W20" s="775"/>
      <c r="X20" s="1812"/>
      <c r="Y20" s="3258"/>
      <c r="Z20" s="1813"/>
      <c r="AA20" s="1810">
        <v>1</v>
      </c>
      <c r="AB20" s="1810">
        <v>1</v>
      </c>
      <c r="AC20" s="2671">
        <v>1</v>
      </c>
    </row>
    <row r="21" spans="1:29" ht="28.5">
      <c r="A21" s="428"/>
      <c r="B21" s="633" t="s">
        <v>2686</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5"/>
      <c r="Q21" s="1809" t="str">
        <f>B21</f>
        <v>基础设施水平</v>
      </c>
      <c r="R21" s="774" t="s">
        <v>17</v>
      </c>
      <c r="S21" s="775">
        <f>F21</f>
        <v>100</v>
      </c>
      <c r="T21" s="774" t="s">
        <v>17</v>
      </c>
      <c r="U21" s="775">
        <f>H21</f>
        <v>100</v>
      </c>
      <c r="V21" s="774" t="s">
        <v>17</v>
      </c>
      <c r="W21" s="775">
        <f>J21</f>
        <v>100</v>
      </c>
      <c r="X21" s="1812"/>
      <c r="Y21" s="3258"/>
      <c r="Z21" s="1813" t="str">
        <f>Q21</f>
        <v>基础设施水平</v>
      </c>
      <c r="AA21" s="1810">
        <f t="shared" ref="AA21" si="8">D21/F21</f>
        <v>1</v>
      </c>
      <c r="AB21" s="1810">
        <f t="shared" ref="AB21" si="9">D21/H21</f>
        <v>1</v>
      </c>
      <c r="AC21" s="2671">
        <f t="shared" ref="AC21" si="10">D21/J21</f>
        <v>1</v>
      </c>
    </row>
    <row r="22" spans="1:29" ht="15">
      <c r="A22" s="428"/>
      <c r="B22" s="633"/>
      <c r="C22" s="2673"/>
      <c r="D22" s="448"/>
      <c r="E22" s="447"/>
      <c r="F22" s="448"/>
      <c r="G22" s="2608"/>
      <c r="H22" s="448"/>
      <c r="I22" s="2608"/>
      <c r="J22" s="448"/>
      <c r="K22" s="1383"/>
      <c r="L22" s="1140"/>
      <c r="M22" s="1131"/>
      <c r="N22" s="1131"/>
      <c r="O22" s="1131"/>
      <c r="P22" s="3265"/>
      <c r="Q22" s="1809"/>
      <c r="R22" s="774"/>
      <c r="S22" s="775"/>
      <c r="T22" s="774"/>
      <c r="U22" s="775"/>
      <c r="V22" s="774"/>
      <c r="W22" s="775"/>
      <c r="X22" s="1812"/>
      <c r="Y22" s="3258"/>
      <c r="Z22" s="1813"/>
      <c r="AA22" s="1810">
        <v>1</v>
      </c>
      <c r="AB22" s="1810">
        <v>1</v>
      </c>
      <c r="AC22" s="2671">
        <v>1</v>
      </c>
    </row>
    <row r="23" spans="1:29" ht="42.75">
      <c r="A23" s="428"/>
      <c r="B23" s="631" t="s">
        <v>2687</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5"/>
      <c r="Q23" s="1809" t="str">
        <f>B23</f>
        <v>环境质量</v>
      </c>
      <c r="R23" s="774" t="s">
        <v>17</v>
      </c>
      <c r="S23" s="775">
        <f>F23</f>
        <v>100</v>
      </c>
      <c r="T23" s="774" t="s">
        <v>17</v>
      </c>
      <c r="U23" s="775">
        <f>H23</f>
        <v>100</v>
      </c>
      <c r="V23" s="774" t="s">
        <v>17</v>
      </c>
      <c r="W23" s="775">
        <f>J23</f>
        <v>100</v>
      </c>
      <c r="X23" s="1812"/>
      <c r="Y23" s="3258"/>
      <c r="Z23" s="1813" t="str">
        <f>Q23</f>
        <v>环境质量</v>
      </c>
      <c r="AA23" s="1810">
        <f t="shared" si="3"/>
        <v>1</v>
      </c>
      <c r="AB23" s="1810">
        <f t="shared" si="4"/>
        <v>1</v>
      </c>
      <c r="AC23" s="2671">
        <f t="shared" si="5"/>
        <v>1</v>
      </c>
    </row>
    <row r="24" spans="1:29" ht="15">
      <c r="A24" s="428"/>
      <c r="B24" s="633"/>
      <c r="C24" s="2608"/>
      <c r="D24" s="448"/>
      <c r="E24" s="2601"/>
      <c r="F24" s="448"/>
      <c r="G24" s="2602"/>
      <c r="H24" s="448"/>
      <c r="I24" s="2602"/>
      <c r="J24" s="448"/>
      <c r="K24" s="615"/>
      <c r="L24" s="1140"/>
      <c r="M24" s="1131"/>
      <c r="N24" s="1131"/>
      <c r="O24" s="1131"/>
      <c r="P24" s="3265"/>
      <c r="Q24" s="1809"/>
      <c r="R24" s="774"/>
      <c r="S24" s="775"/>
      <c r="T24" s="774"/>
      <c r="U24" s="775"/>
      <c r="V24" s="774"/>
      <c r="W24" s="775"/>
      <c r="X24" s="1812"/>
      <c r="Y24" s="3258"/>
      <c r="Z24" s="1813"/>
      <c r="AA24" s="1810">
        <v>1</v>
      </c>
      <c r="AB24" s="1810">
        <v>1</v>
      </c>
      <c r="AC24" s="2671">
        <v>1</v>
      </c>
    </row>
    <row r="25" spans="1:29" ht="27">
      <c r="A25" s="404"/>
      <c r="B25" s="631" t="s">
        <v>2688</v>
      </c>
      <c r="C25" s="2612"/>
      <c r="D25" s="435">
        <v>100</v>
      </c>
      <c r="E25" s="434"/>
      <c r="F25" s="435">
        <f>SUMIF(87:87,E26,88:88)-SUMIF(87:87,C26,88:88)+100</f>
        <v>100</v>
      </c>
      <c r="G25" s="2612"/>
      <c r="H25" s="435">
        <f>SUMIF(87:87,G26,88:88)-SUMIF(87:87,C26,88:88)+100</f>
        <v>100</v>
      </c>
      <c r="I25" s="434"/>
      <c r="J25" s="435">
        <f>SUMIF(87:87,I26,88:88)-SUMIF(87:87,C26,88:88)+100</f>
        <v>100</v>
      </c>
      <c r="K25" s="614"/>
      <c r="L25" s="1140"/>
      <c r="M25" s="1131"/>
      <c r="N25" s="1131"/>
      <c r="O25" s="1131"/>
      <c r="P25" s="3265"/>
      <c r="Q25" s="1809" t="str">
        <f>B25</f>
        <v>毗邻道路的类型与等级</v>
      </c>
      <c r="R25" s="774" t="s">
        <v>17</v>
      </c>
      <c r="S25" s="775">
        <f>F25</f>
        <v>100</v>
      </c>
      <c r="T25" s="774" t="s">
        <v>17</v>
      </c>
      <c r="U25" s="775">
        <f>H25</f>
        <v>100</v>
      </c>
      <c r="V25" s="774" t="s">
        <v>17</v>
      </c>
      <c r="W25" s="775">
        <f>J25</f>
        <v>100</v>
      </c>
      <c r="X25" s="1812"/>
      <c r="Y25" s="3258"/>
      <c r="Z25" s="1813" t="str">
        <f>Q25</f>
        <v>毗邻道路的类型与等级</v>
      </c>
      <c r="AA25" s="1810">
        <f t="shared" si="3"/>
        <v>1</v>
      </c>
      <c r="AB25" s="1810">
        <f t="shared" si="4"/>
        <v>1</v>
      </c>
      <c r="AC25" s="2671">
        <f t="shared" si="5"/>
        <v>1</v>
      </c>
    </row>
    <row r="26" spans="1:29" ht="15">
      <c r="A26" s="404"/>
      <c r="B26" s="632"/>
      <c r="C26" s="634"/>
      <c r="D26" s="435"/>
      <c r="E26" s="616"/>
      <c r="F26" s="435"/>
      <c r="G26" s="634"/>
      <c r="H26" s="435"/>
      <c r="I26" s="616"/>
      <c r="J26" s="435"/>
      <c r="K26" s="615"/>
      <c r="L26" s="1140"/>
      <c r="M26" s="1131"/>
      <c r="N26" s="1131"/>
      <c r="O26" s="1131"/>
      <c r="P26" s="3265"/>
      <c r="Q26" s="1809"/>
      <c r="R26" s="774"/>
      <c r="S26" s="775"/>
      <c r="T26" s="774"/>
      <c r="U26" s="775"/>
      <c r="V26" s="774"/>
      <c r="W26" s="775"/>
      <c r="X26" s="1812"/>
      <c r="Y26" s="3258"/>
      <c r="Z26" s="1813"/>
      <c r="AA26" s="1810">
        <v>1</v>
      </c>
      <c r="AB26" s="1810">
        <v>1</v>
      </c>
      <c r="AC26" s="2671">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5"/>
      <c r="Q27" s="1809" t="str">
        <f t="shared" ref="Q27:Q47" si="11">B27</f>
        <v>楼层</v>
      </c>
      <c r="R27" s="774" t="s">
        <v>17</v>
      </c>
      <c r="S27" s="775">
        <f>F27</f>
        <v>100</v>
      </c>
      <c r="T27" s="774" t="s">
        <v>17</v>
      </c>
      <c r="U27" s="775">
        <f>H27</f>
        <v>100</v>
      </c>
      <c r="V27" s="774" t="s">
        <v>17</v>
      </c>
      <c r="W27" s="775">
        <f>J27</f>
        <v>100</v>
      </c>
      <c r="X27" s="1812"/>
      <c r="Y27" s="3258"/>
      <c r="Z27" s="1813" t="str">
        <f>Q27</f>
        <v>楼层</v>
      </c>
      <c r="AA27" s="1810">
        <f t="shared" si="3"/>
        <v>1</v>
      </c>
      <c r="AB27" s="1810">
        <f t="shared" si="4"/>
        <v>1</v>
      </c>
      <c r="AC27" s="2671">
        <f t="shared" si="5"/>
        <v>1</v>
      </c>
    </row>
    <row r="28" spans="1:29" s="117" customFormat="1" ht="15">
      <c r="A28" s="431"/>
      <c r="B28" s="631" t="s">
        <v>2689</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265"/>
      <c r="Q28" s="1794" t="str">
        <f t="shared" si="11"/>
        <v>朝向</v>
      </c>
      <c r="R28" s="770" t="s">
        <v>17</v>
      </c>
      <c r="S28" s="771">
        <f>F28</f>
        <v>100</v>
      </c>
      <c r="T28" s="770" t="s">
        <v>17</v>
      </c>
      <c r="U28" s="771">
        <f>H28</f>
        <v>100</v>
      </c>
      <c r="V28" s="770" t="s">
        <v>17</v>
      </c>
      <c r="W28" s="771">
        <f>J28</f>
        <v>100</v>
      </c>
      <c r="X28" s="772"/>
      <c r="Y28" s="3258"/>
      <c r="Z28" s="55" t="str">
        <f>Q28</f>
        <v>朝向</v>
      </c>
      <c r="AA28" s="1810">
        <f>D28/F28</f>
        <v>1</v>
      </c>
      <c r="AB28" s="1810">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265"/>
      <c r="Q29" s="1809">
        <f t="shared" si="11"/>
        <v>111</v>
      </c>
      <c r="R29" s="774" t="s">
        <v>17</v>
      </c>
      <c r="S29" s="775">
        <f t="shared" ref="S29:S47" si="12">F29</f>
        <v>100</v>
      </c>
      <c r="T29" s="774" t="s">
        <v>17</v>
      </c>
      <c r="U29" s="775">
        <f t="shared" ref="U29:U47" si="13">H29</f>
        <v>100</v>
      </c>
      <c r="V29" s="774" t="s">
        <v>17</v>
      </c>
      <c r="W29" s="775">
        <f t="shared" ref="W29:W47" si="14">J29</f>
        <v>100</v>
      </c>
      <c r="X29" s="1812"/>
      <c r="Y29" s="3258"/>
      <c r="Z29" s="1813">
        <f t="shared" ref="Z29:Z47" si="15">Q29</f>
        <v>111</v>
      </c>
      <c r="AA29" s="1810">
        <f t="shared" si="3"/>
        <v>1</v>
      </c>
      <c r="AB29" s="1810">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265"/>
      <c r="Q30" s="1809">
        <f t="shared" si="11"/>
        <v>111</v>
      </c>
      <c r="R30" s="774" t="s">
        <v>17</v>
      </c>
      <c r="S30" s="775">
        <f t="shared" si="12"/>
        <v>100</v>
      </c>
      <c r="T30" s="774" t="s">
        <v>17</v>
      </c>
      <c r="U30" s="775">
        <f t="shared" si="13"/>
        <v>100</v>
      </c>
      <c r="V30" s="774" t="s">
        <v>17</v>
      </c>
      <c r="W30" s="775">
        <f t="shared" si="14"/>
        <v>100</v>
      </c>
      <c r="X30" s="1812"/>
      <c r="Y30" s="3258"/>
      <c r="Z30" s="1813">
        <f t="shared" si="15"/>
        <v>111</v>
      </c>
      <c r="AA30" s="1810">
        <f t="shared" si="3"/>
        <v>1</v>
      </c>
      <c r="AB30" s="1810">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265"/>
      <c r="Q31" s="1809">
        <f t="shared" si="11"/>
        <v>111</v>
      </c>
      <c r="R31" s="774" t="s">
        <v>17</v>
      </c>
      <c r="S31" s="775">
        <f t="shared" si="12"/>
        <v>100</v>
      </c>
      <c r="T31" s="774" t="s">
        <v>17</v>
      </c>
      <c r="U31" s="775">
        <f t="shared" si="13"/>
        <v>100</v>
      </c>
      <c r="V31" s="774" t="s">
        <v>17</v>
      </c>
      <c r="W31" s="775">
        <f t="shared" si="14"/>
        <v>100</v>
      </c>
      <c r="X31" s="1812"/>
      <c r="Y31" s="3258"/>
      <c r="Z31" s="1813">
        <f t="shared" si="15"/>
        <v>111</v>
      </c>
      <c r="AA31" s="1810">
        <f t="shared" si="3"/>
        <v>1</v>
      </c>
      <c r="AB31" s="1810">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265"/>
      <c r="Q32" s="1809">
        <f t="shared" si="11"/>
        <v>111</v>
      </c>
      <c r="R32" s="774" t="s">
        <v>17</v>
      </c>
      <c r="S32" s="775">
        <f t="shared" si="12"/>
        <v>100</v>
      </c>
      <c r="T32" s="774" t="s">
        <v>17</v>
      </c>
      <c r="U32" s="775">
        <f t="shared" si="13"/>
        <v>100</v>
      </c>
      <c r="V32" s="774" t="s">
        <v>17</v>
      </c>
      <c r="W32" s="775">
        <f t="shared" si="14"/>
        <v>100</v>
      </c>
      <c r="X32" s="1812"/>
      <c r="Y32" s="3258"/>
      <c r="Z32" s="1813">
        <f t="shared" si="15"/>
        <v>111</v>
      </c>
      <c r="AA32" s="1810">
        <f t="shared" si="3"/>
        <v>1</v>
      </c>
      <c r="AB32" s="1810">
        <f t="shared" si="4"/>
        <v>1</v>
      </c>
      <c r="AC32" s="2671">
        <f t="shared" si="5"/>
        <v>1</v>
      </c>
    </row>
    <row r="33" spans="1:29" ht="15">
      <c r="A33" s="440" t="s">
        <v>2560</v>
      </c>
      <c r="B33" s="71" t="s">
        <v>2690</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0"/>
      <c r="M33" s="1131"/>
      <c r="N33" s="1131"/>
      <c r="O33" s="1131"/>
      <c r="P33" s="3259" t="s">
        <v>2562</v>
      </c>
      <c r="Q33" s="1809" t="str">
        <f t="shared" si="11"/>
        <v>建筑类型</v>
      </c>
      <c r="R33" s="774" t="s">
        <v>17</v>
      </c>
      <c r="S33" s="775">
        <f t="shared" si="12"/>
        <v>100</v>
      </c>
      <c r="T33" s="774" t="s">
        <v>17</v>
      </c>
      <c r="U33" s="775">
        <f t="shared" si="13"/>
        <v>100</v>
      </c>
      <c r="V33" s="774" t="s">
        <v>17</v>
      </c>
      <c r="W33" s="775">
        <f t="shared" si="14"/>
        <v>100</v>
      </c>
      <c r="X33" s="1812"/>
      <c r="Y33" s="3262" t="s">
        <v>2562</v>
      </c>
      <c r="Z33" s="1813" t="str">
        <f t="shared" si="15"/>
        <v>建筑类型</v>
      </c>
      <c r="AA33" s="1810">
        <f t="shared" si="3"/>
        <v>1</v>
      </c>
      <c r="AB33" s="1810">
        <f t="shared" si="4"/>
        <v>1</v>
      </c>
      <c r="AC33" s="2671">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60"/>
      <c r="Q34" s="776" t="str">
        <f t="shared" si="11"/>
        <v>项目建筑规模</v>
      </c>
      <c r="R34" s="777" t="s">
        <v>17</v>
      </c>
      <c r="S34" s="778" t="e">
        <f t="shared" si="12"/>
        <v>#N/A</v>
      </c>
      <c r="T34" s="777" t="s">
        <v>17</v>
      </c>
      <c r="U34" s="778" t="e">
        <f t="shared" si="13"/>
        <v>#N/A</v>
      </c>
      <c r="V34" s="777" t="s">
        <v>17</v>
      </c>
      <c r="W34" s="778" t="e">
        <f t="shared" si="14"/>
        <v>#N/A</v>
      </c>
      <c r="X34" s="779"/>
      <c r="Y34" s="3262"/>
      <c r="Z34" s="780" t="str">
        <f t="shared" si="15"/>
        <v>项目建筑规模</v>
      </c>
      <c r="AA34" s="1810" t="e">
        <f t="shared" si="3"/>
        <v>#N/A</v>
      </c>
      <c r="AB34" s="1810" t="e">
        <f t="shared" si="4"/>
        <v>#N/A</v>
      </c>
      <c r="AC34" s="2671"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0"/>
      <c r="Q35" s="1809" t="str">
        <f t="shared" si="11"/>
        <v>建筑结构</v>
      </c>
      <c r="R35" s="774" t="s">
        <v>17</v>
      </c>
      <c r="S35" s="775">
        <f t="shared" si="12"/>
        <v>100</v>
      </c>
      <c r="T35" s="774" t="s">
        <v>17</v>
      </c>
      <c r="U35" s="775">
        <f t="shared" si="13"/>
        <v>100</v>
      </c>
      <c r="V35" s="774" t="s">
        <v>17</v>
      </c>
      <c r="W35" s="775">
        <f t="shared" si="14"/>
        <v>100</v>
      </c>
      <c r="X35" s="1812"/>
      <c r="Y35" s="3262"/>
      <c r="Z35" s="1813" t="str">
        <f t="shared" si="15"/>
        <v>建筑结构</v>
      </c>
      <c r="AA35" s="1810">
        <f t="shared" si="3"/>
        <v>1</v>
      </c>
      <c r="AB35" s="1810">
        <f t="shared" si="4"/>
        <v>1</v>
      </c>
      <c r="AC35" s="2671">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0"/>
      <c r="Q36" s="1809" t="str">
        <f t="shared" si="11"/>
        <v>公共部分装修</v>
      </c>
      <c r="R36" s="774" t="s">
        <v>17</v>
      </c>
      <c r="S36" s="775">
        <f t="shared" si="12"/>
        <v>100</v>
      </c>
      <c r="T36" s="774" t="s">
        <v>17</v>
      </c>
      <c r="U36" s="775">
        <f t="shared" si="13"/>
        <v>100</v>
      </c>
      <c r="V36" s="774" t="s">
        <v>17</v>
      </c>
      <c r="W36" s="775">
        <f t="shared" si="14"/>
        <v>100</v>
      </c>
      <c r="X36" s="1812"/>
      <c r="Y36" s="3262"/>
      <c r="Z36" s="1813" t="str">
        <f t="shared" si="15"/>
        <v>公共部分装修</v>
      </c>
      <c r="AA36" s="1810">
        <f t="shared" si="3"/>
        <v>1</v>
      </c>
      <c r="AB36" s="1810">
        <f t="shared" si="4"/>
        <v>1</v>
      </c>
      <c r="AC36" s="2671">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0"/>
      <c r="Q37" s="1809" t="str">
        <f t="shared" si="11"/>
        <v>成新度</v>
      </c>
      <c r="R37" s="774" t="s">
        <v>17</v>
      </c>
      <c r="S37" s="775" t="e">
        <f t="shared" si="12"/>
        <v>#N/A</v>
      </c>
      <c r="T37" s="774" t="s">
        <v>17</v>
      </c>
      <c r="U37" s="775" t="e">
        <f t="shared" si="13"/>
        <v>#N/A</v>
      </c>
      <c r="V37" s="774" t="s">
        <v>17</v>
      </c>
      <c r="W37" s="775" t="e">
        <f t="shared" si="14"/>
        <v>#N/A</v>
      </c>
      <c r="X37" s="1812"/>
      <c r="Y37" s="3262"/>
      <c r="Z37" s="1813" t="str">
        <f t="shared" si="15"/>
        <v>成新度</v>
      </c>
      <c r="AA37" s="1810" t="e">
        <f t="shared" si="3"/>
        <v>#N/A</v>
      </c>
      <c r="AB37" s="1810" t="e">
        <f t="shared" si="4"/>
        <v>#N/A</v>
      </c>
      <c r="AC37" s="2671"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0"/>
      <c r="Q38" s="1794" t="str">
        <f t="shared" si="11"/>
        <v>写字楼等级</v>
      </c>
      <c r="R38" s="770" t="s">
        <v>17</v>
      </c>
      <c r="S38" s="771">
        <f t="shared" si="12"/>
        <v>100</v>
      </c>
      <c r="T38" s="770" t="s">
        <v>17</v>
      </c>
      <c r="U38" s="771">
        <f t="shared" si="13"/>
        <v>100</v>
      </c>
      <c r="V38" s="770" t="s">
        <v>17</v>
      </c>
      <c r="W38" s="771">
        <f t="shared" si="14"/>
        <v>100</v>
      </c>
      <c r="X38" s="772"/>
      <c r="Y38" s="3262"/>
      <c r="Z38" s="55" t="str">
        <f t="shared" si="15"/>
        <v>写字楼等级</v>
      </c>
      <c r="AA38" s="773">
        <f t="shared" si="3"/>
        <v>1</v>
      </c>
      <c r="AB38" s="773">
        <f t="shared" si="4"/>
        <v>1</v>
      </c>
      <c r="AC38" s="2668">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0" t="s">
        <v>2562</v>
      </c>
      <c r="Q39" s="1809" t="str">
        <f t="shared" si="11"/>
        <v>物业管理</v>
      </c>
      <c r="R39" s="774" t="s">
        <v>17</v>
      </c>
      <c r="S39" s="775">
        <f t="shared" si="12"/>
        <v>100</v>
      </c>
      <c r="T39" s="774" t="s">
        <v>17</v>
      </c>
      <c r="U39" s="775">
        <f t="shared" si="13"/>
        <v>100</v>
      </c>
      <c r="V39" s="774" t="s">
        <v>17</v>
      </c>
      <c r="W39" s="775">
        <f t="shared" si="14"/>
        <v>100</v>
      </c>
      <c r="X39" s="1812"/>
      <c r="Y39" s="3262" t="s">
        <v>2562</v>
      </c>
      <c r="Z39" s="1813" t="str">
        <f t="shared" si="15"/>
        <v>物业管理</v>
      </c>
      <c r="AA39" s="1810">
        <f t="shared" si="3"/>
        <v>1</v>
      </c>
      <c r="AB39" s="1810">
        <f t="shared" si="4"/>
        <v>1</v>
      </c>
      <c r="AC39" s="2671">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0"/>
      <c r="Q40" s="1809" t="str">
        <f t="shared" si="11"/>
        <v>市政基础设施</v>
      </c>
      <c r="R40" s="774" t="s">
        <v>17</v>
      </c>
      <c r="S40" s="775">
        <f t="shared" si="12"/>
        <v>100</v>
      </c>
      <c r="T40" s="774" t="s">
        <v>17</v>
      </c>
      <c r="U40" s="775">
        <f t="shared" si="13"/>
        <v>100</v>
      </c>
      <c r="V40" s="774" t="s">
        <v>17</v>
      </c>
      <c r="W40" s="775">
        <f t="shared" si="14"/>
        <v>100</v>
      </c>
      <c r="X40" s="1812"/>
      <c r="Y40" s="3262"/>
      <c r="Z40" s="1813" t="str">
        <f t="shared" si="15"/>
        <v>市政基础设施</v>
      </c>
      <c r="AA40" s="1810">
        <f t="shared" si="3"/>
        <v>1</v>
      </c>
      <c r="AB40" s="1810">
        <f t="shared" si="4"/>
        <v>1</v>
      </c>
      <c r="AC40" s="2671">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0"/>
      <c r="Q41" s="1809" t="str">
        <f t="shared" si="11"/>
        <v>层高</v>
      </c>
      <c r="R41" s="774" t="s">
        <v>17</v>
      </c>
      <c r="S41" s="775">
        <f t="shared" si="12"/>
        <v>100</v>
      </c>
      <c r="T41" s="774" t="s">
        <v>17</v>
      </c>
      <c r="U41" s="775">
        <f t="shared" si="13"/>
        <v>100</v>
      </c>
      <c r="V41" s="774" t="s">
        <v>17</v>
      </c>
      <c r="W41" s="775">
        <f t="shared" si="14"/>
        <v>100</v>
      </c>
      <c r="X41" s="1812"/>
      <c r="Y41" s="3262"/>
      <c r="Z41" s="1813" t="str">
        <f t="shared" si="15"/>
        <v>层高</v>
      </c>
      <c r="AA41" s="1810">
        <f t="shared" si="3"/>
        <v>1</v>
      </c>
      <c r="AB41" s="1810">
        <f t="shared" si="4"/>
        <v>1</v>
      </c>
      <c r="AC41" s="2671">
        <f t="shared" si="5"/>
        <v>1</v>
      </c>
    </row>
    <row r="42" spans="1:29" s="471" customFormat="1" ht="15">
      <c r="A42" s="468"/>
      <c r="B42" s="1811"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0"/>
      <c r="Q42" s="776" t="str">
        <f t="shared" si="11"/>
        <v>单套建筑面积</v>
      </c>
      <c r="R42" s="777" t="s">
        <v>17</v>
      </c>
      <c r="S42" s="778">
        <f t="shared" si="12"/>
        <v>100</v>
      </c>
      <c r="T42" s="777" t="s">
        <v>17</v>
      </c>
      <c r="U42" s="778">
        <f t="shared" si="13"/>
        <v>100</v>
      </c>
      <c r="V42" s="777" t="s">
        <v>17</v>
      </c>
      <c r="W42" s="778">
        <f t="shared" si="14"/>
        <v>100</v>
      </c>
      <c r="X42" s="779"/>
      <c r="Y42" s="3262"/>
      <c r="Z42" s="780" t="str">
        <f t="shared" si="15"/>
        <v>单套建筑面积</v>
      </c>
      <c r="AA42" s="1810">
        <f t="shared" si="3"/>
        <v>1</v>
      </c>
      <c r="AB42" s="1810">
        <f t="shared" si="4"/>
        <v>1</v>
      </c>
      <c r="AC42" s="2671">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0"/>
      <c r="Q43" s="1809" t="str">
        <f t="shared" si="11"/>
        <v>内部装修</v>
      </c>
      <c r="R43" s="774" t="s">
        <v>17</v>
      </c>
      <c r="S43" s="775">
        <f t="shared" si="12"/>
        <v>100</v>
      </c>
      <c r="T43" s="774" t="s">
        <v>17</v>
      </c>
      <c r="U43" s="775">
        <f t="shared" si="13"/>
        <v>100</v>
      </c>
      <c r="V43" s="774" t="s">
        <v>17</v>
      </c>
      <c r="W43" s="775">
        <f t="shared" si="14"/>
        <v>100</v>
      </c>
      <c r="X43" s="1812"/>
      <c r="Y43" s="3262"/>
      <c r="Z43" s="1813" t="str">
        <f t="shared" si="15"/>
        <v>内部装修</v>
      </c>
      <c r="AA43" s="1810">
        <f t="shared" si="3"/>
        <v>1</v>
      </c>
      <c r="AB43" s="1810">
        <f t="shared" si="4"/>
        <v>1</v>
      </c>
      <c r="AC43" s="2671">
        <f t="shared" si="5"/>
        <v>1</v>
      </c>
    </row>
    <row r="44" spans="1:29" ht="15">
      <c r="A44" s="472"/>
      <c r="B44" s="422" t="s">
        <v>2573</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0"/>
      <c r="M44" s="1131"/>
      <c r="N44" s="1131"/>
      <c r="O44" s="1131"/>
      <c r="P44" s="3260"/>
      <c r="Q44" s="1809" t="str">
        <f t="shared" si="11"/>
        <v>内部装修维护情况</v>
      </c>
      <c r="R44" s="774" t="s">
        <v>17</v>
      </c>
      <c r="S44" s="775">
        <f t="shared" si="12"/>
        <v>100</v>
      </c>
      <c r="T44" s="774" t="s">
        <v>17</v>
      </c>
      <c r="U44" s="775">
        <f t="shared" si="13"/>
        <v>100</v>
      </c>
      <c r="V44" s="774" t="s">
        <v>17</v>
      </c>
      <c r="W44" s="775">
        <f t="shared" si="14"/>
        <v>100</v>
      </c>
      <c r="X44" s="1812"/>
      <c r="Y44" s="3262"/>
      <c r="Z44" s="1813" t="str">
        <f t="shared" si="15"/>
        <v>内部装修维护情况</v>
      </c>
      <c r="AA44" s="1810">
        <f t="shared" si="3"/>
        <v>1</v>
      </c>
      <c r="AB44" s="1810">
        <f t="shared" si="4"/>
        <v>1</v>
      </c>
      <c r="AC44" s="267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60"/>
      <c r="Q45" s="1794">
        <f t="shared" si="11"/>
        <v>111</v>
      </c>
      <c r="R45" s="770" t="s">
        <v>17</v>
      </c>
      <c r="S45" s="771">
        <f t="shared" si="12"/>
        <v>100</v>
      </c>
      <c r="T45" s="770" t="s">
        <v>17</v>
      </c>
      <c r="U45" s="771">
        <f t="shared" si="13"/>
        <v>100</v>
      </c>
      <c r="V45" s="770" t="s">
        <v>17</v>
      </c>
      <c r="W45" s="771">
        <f t="shared" si="14"/>
        <v>100</v>
      </c>
      <c r="X45" s="772"/>
      <c r="Y45" s="3262"/>
      <c r="Z45" s="55">
        <f t="shared" si="15"/>
        <v>111</v>
      </c>
      <c r="AA45" s="773">
        <f t="shared" si="3"/>
        <v>1</v>
      </c>
      <c r="AB45" s="773">
        <f t="shared" si="4"/>
        <v>1</v>
      </c>
      <c r="AC45" s="266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0"/>
      <c r="Q46" s="1809">
        <f t="shared" si="11"/>
        <v>111</v>
      </c>
      <c r="R46" s="774" t="s">
        <v>17</v>
      </c>
      <c r="S46" s="775">
        <f t="shared" si="12"/>
        <v>100</v>
      </c>
      <c r="T46" s="774" t="s">
        <v>17</v>
      </c>
      <c r="U46" s="775">
        <f t="shared" si="13"/>
        <v>100</v>
      </c>
      <c r="V46" s="774" t="s">
        <v>17</v>
      </c>
      <c r="W46" s="775">
        <f t="shared" si="14"/>
        <v>100</v>
      </c>
      <c r="X46" s="1812"/>
      <c r="Y46" s="3262"/>
      <c r="Z46" s="1813">
        <f t="shared" si="15"/>
        <v>111</v>
      </c>
      <c r="AA46" s="1810">
        <f t="shared" si="3"/>
        <v>1</v>
      </c>
      <c r="AB46" s="1810">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1"/>
      <c r="Q47" s="1809">
        <f t="shared" si="11"/>
        <v>111</v>
      </c>
      <c r="R47" s="774" t="s">
        <v>17</v>
      </c>
      <c r="S47" s="775">
        <f t="shared" si="12"/>
        <v>100</v>
      </c>
      <c r="T47" s="774" t="s">
        <v>17</v>
      </c>
      <c r="U47" s="775">
        <f t="shared" si="13"/>
        <v>100</v>
      </c>
      <c r="V47" s="774" t="s">
        <v>17</v>
      </c>
      <c r="W47" s="775">
        <f t="shared" si="14"/>
        <v>100</v>
      </c>
      <c r="X47" s="1812"/>
      <c r="Y47" s="3263"/>
      <c r="Z47" s="1813">
        <f t="shared" si="15"/>
        <v>111</v>
      </c>
      <c r="AA47" s="1810">
        <f t="shared" si="3"/>
        <v>1</v>
      </c>
      <c r="AB47" s="1810">
        <f t="shared" si="4"/>
        <v>1</v>
      </c>
      <c r="AC47" s="2671">
        <f t="shared" si="5"/>
        <v>1</v>
      </c>
    </row>
    <row r="48" spans="1:29" ht="15">
      <c r="A48" s="479" t="s">
        <v>2574</v>
      </c>
      <c r="B48" s="480"/>
      <c r="C48" s="1407" t="s">
        <v>1</v>
      </c>
      <c r="D48" s="1408"/>
      <c r="E48" s="1409"/>
      <c r="F48" s="1410"/>
      <c r="G48" s="1411"/>
      <c r="H48" s="1412"/>
      <c r="I48" s="1409"/>
      <c r="J48" s="485"/>
      <c r="K48" s="783"/>
      <c r="L48" s="1143"/>
      <c r="M48" s="1131"/>
      <c r="N48" s="1131"/>
      <c r="O48" s="1131"/>
      <c r="P48" s="3237" t="str">
        <f>A48</f>
        <v>成交单价（元/平方米）</v>
      </c>
      <c r="Q48" s="3255"/>
      <c r="R48" s="3256">
        <f>E48</f>
        <v>0</v>
      </c>
      <c r="S48" s="3256"/>
      <c r="T48" s="3256">
        <f>G48</f>
        <v>0</v>
      </c>
      <c r="U48" s="3256"/>
      <c r="V48" s="3256">
        <f>I48</f>
        <v>0</v>
      </c>
      <c r="W48" s="3256"/>
      <c r="X48" s="446"/>
      <c r="Y48" s="781"/>
      <c r="Z48" s="446"/>
      <c r="AA48" s="446"/>
      <c r="AB48" s="446"/>
      <c r="AC48" s="630"/>
    </row>
    <row r="49" spans="1:29" ht="15.7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237" t="str">
        <f>A49</f>
        <v>比较价值（元/平方米）</v>
      </c>
      <c r="Q49" s="3255"/>
      <c r="R49" s="3256" t="e">
        <f>IF(F1="售价",ROUND(PRODUCT(R48,AA7:AA47),0),ROUND(PRODUCT(R48,AA7:AA47),1))</f>
        <v>#DIV/0!</v>
      </c>
      <c r="S49" s="3256"/>
      <c r="T49" s="3256" t="e">
        <f>IF(F1="售价",ROUND(PRODUCT(T48,AB7:AB47),0),ROUND(PRODUCT(T48,AB7:AB47),1))</f>
        <v>#DIV/0!</v>
      </c>
      <c r="U49" s="3256"/>
      <c r="V49" s="3256" t="e">
        <f>IF(F1="售价",ROUND(PRODUCT(V48,AC7:AC47),0),ROUND(PRODUCT(V48,AC7:AC47),1))</f>
        <v>#DIV/0!</v>
      </c>
      <c r="W49" s="3256"/>
      <c r="X49" s="446"/>
      <c r="Y49" s="446"/>
      <c r="Z49" s="446"/>
      <c r="AA49" s="446"/>
      <c r="AB49" s="446"/>
      <c r="AC49" s="630"/>
    </row>
    <row r="50" spans="1:29" ht="15.75" thickBot="1">
      <c r="A50" s="492" t="s">
        <v>2667</v>
      </c>
      <c r="B50" s="493"/>
      <c r="C50" s="1417" t="e">
        <f>R50</f>
        <v>#DIV/0!</v>
      </c>
      <c r="D50" s="1417"/>
      <c r="E50" s="1417"/>
      <c r="F50" s="1417"/>
      <c r="G50" s="1417"/>
      <c r="H50" s="1417"/>
      <c r="I50" s="1417"/>
      <c r="J50" s="494"/>
      <c r="K50" s="785"/>
      <c r="L50" s="1143"/>
      <c r="M50" s="1131"/>
      <c r="N50" s="1131"/>
      <c r="O50" s="1131"/>
      <c r="P50" s="3278" t="str">
        <f>A50</f>
        <v>估价对象XX用房的比较价值（楼面单价，元/平方米）</v>
      </c>
      <c r="Q50" s="3279"/>
      <c r="R50" s="3280" t="e">
        <f>IF(F1="售价",ROUND(AVERAGE(R49:V49),0),ROUND(AVERAGE(R49:V49),1))</f>
        <v>#DIV/0!</v>
      </c>
      <c r="S50" s="3280"/>
      <c r="T50" s="3280"/>
      <c r="U50" s="3280"/>
      <c r="V50" s="3280"/>
      <c r="W50" s="3280"/>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78"/>
      <c r="Q58" s="504"/>
    </row>
    <row r="59" spans="1:29" s="508" customFormat="1" ht="15">
      <c r="A59" s="505" t="s">
        <v>2545</v>
      </c>
      <c r="B59" s="506"/>
      <c r="C59" s="1574" t="str">
        <f>YEAR(C7)&amp;"-"&amp;MONTH(C7)</f>
        <v>2020-3</v>
      </c>
      <c r="D59" s="1575">
        <f>EDATE(C59,-1)</f>
        <v>43862</v>
      </c>
      <c r="E59" s="1575">
        <f>EDATE(D59,-1)</f>
        <v>43831</v>
      </c>
      <c r="F59" s="1575">
        <f t="shared" ref="F59:O59" si="16">EDATE(E59,-1)</f>
        <v>43800</v>
      </c>
      <c r="G59" s="1575">
        <f t="shared" si="16"/>
        <v>43770</v>
      </c>
      <c r="H59" s="1575">
        <f t="shared" si="16"/>
        <v>43739</v>
      </c>
      <c r="I59" s="1575">
        <f t="shared" si="16"/>
        <v>43709</v>
      </c>
      <c r="J59" s="1575">
        <f t="shared" si="16"/>
        <v>43678</v>
      </c>
      <c r="K59" s="1575">
        <f t="shared" si="16"/>
        <v>43647</v>
      </c>
      <c r="L59" s="1575">
        <f t="shared" si="16"/>
        <v>43617</v>
      </c>
      <c r="M59" s="1575">
        <f t="shared" si="16"/>
        <v>43586</v>
      </c>
      <c r="N59" s="1575">
        <f t="shared" si="16"/>
        <v>43556</v>
      </c>
      <c r="O59" s="1575">
        <f t="shared" si="16"/>
        <v>43525</v>
      </c>
      <c r="P59" s="1571"/>
    </row>
    <row r="60" spans="1:29" s="117" customFormat="1" ht="15">
      <c r="A60" s="509"/>
      <c r="B60" s="510"/>
      <c r="C60" s="1573">
        <v>100</v>
      </c>
      <c r="D60" s="512"/>
      <c r="E60" s="512"/>
      <c r="F60" s="512"/>
      <c r="G60" s="512"/>
      <c r="H60" s="512"/>
      <c r="I60" s="512"/>
      <c r="J60" s="512"/>
      <c r="K60" s="512"/>
      <c r="L60" s="512"/>
      <c r="M60" s="513"/>
      <c r="N60" s="512"/>
      <c r="O60" s="513"/>
      <c r="P60" s="2679"/>
    </row>
    <row r="61" spans="1:29" s="117" customFormat="1" ht="15.75" thickBot="1">
      <c r="A61" s="515" t="s">
        <v>2582</v>
      </c>
      <c r="B61" s="516"/>
      <c r="C61" s="517"/>
      <c r="D61" s="518"/>
      <c r="E61" s="518"/>
      <c r="F61" s="518"/>
      <c r="G61" s="518"/>
      <c r="H61" s="518"/>
      <c r="I61" s="518"/>
      <c r="J61" s="518"/>
      <c r="K61" s="518"/>
      <c r="L61" s="518"/>
      <c r="M61" s="519"/>
      <c r="N61" s="518"/>
      <c r="O61" s="519"/>
      <c r="P61" s="2679"/>
      <c r="Q61" s="504"/>
    </row>
    <row r="62" spans="1:29" s="117" customFormat="1" ht="15">
      <c r="A62" s="521" t="s">
        <v>2547</v>
      </c>
      <c r="B62" s="510"/>
      <c r="C62" s="522" t="s">
        <v>2649</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2585</v>
      </c>
      <c r="B64" s="528" t="s">
        <v>2551</v>
      </c>
      <c r="C64" s="529">
        <f>C9</f>
        <v>0</v>
      </c>
      <c r="D64" s="530"/>
      <c r="E64" s="530"/>
      <c r="F64" s="530"/>
      <c r="G64" s="530"/>
      <c r="H64" s="530"/>
      <c r="I64" s="530"/>
      <c r="J64" s="530"/>
      <c r="K64" s="531"/>
      <c r="L64" s="532"/>
      <c r="M64" s="533"/>
      <c r="N64" s="1152"/>
      <c r="O64" s="1152"/>
      <c r="P64" s="2681"/>
      <c r="Q64" s="504"/>
    </row>
    <row r="65" spans="1:17" ht="15.75" thickBot="1">
      <c r="A65" s="534"/>
      <c r="B65" s="535"/>
      <c r="C65" s="536">
        <v>100</v>
      </c>
      <c r="D65" s="536"/>
      <c r="E65" s="536"/>
      <c r="F65" s="536"/>
      <c r="G65" s="536"/>
      <c r="H65" s="536"/>
      <c r="I65" s="536"/>
      <c r="J65" s="536"/>
      <c r="K65" s="536"/>
      <c r="L65" s="536"/>
      <c r="M65" s="537"/>
      <c r="N65" s="1153"/>
      <c r="O65" s="1153"/>
      <c r="P65" s="2681"/>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1"/>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1"/>
      <c r="Q68" s="504"/>
    </row>
    <row r="69" spans="1:17" ht="15">
      <c r="A69" s="534"/>
      <c r="B69" s="548"/>
      <c r="C69" s="549"/>
      <c r="D69" s="549"/>
      <c r="E69" s="549"/>
      <c r="F69" s="549"/>
      <c r="G69" s="549"/>
      <c r="H69" s="549"/>
      <c r="I69" s="549"/>
      <c r="J69" s="549"/>
      <c r="K69" s="550"/>
      <c r="L69" s="551"/>
      <c r="M69" s="552"/>
      <c r="N69" s="1152"/>
      <c r="O69" s="1152"/>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1"/>
      <c r="Q70" s="504"/>
    </row>
    <row r="71" spans="1:17" s="471" customFormat="1" ht="15.75" thickTop="1">
      <c r="A71" s="553"/>
      <c r="B71" s="538">
        <f>B12</f>
        <v>111</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111</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111</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1"/>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1"/>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1"/>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1"/>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1"/>
      <c r="Q86" s="504"/>
    </row>
    <row r="87" spans="1:17" s="117" customFormat="1" ht="27.75" thickTop="1">
      <c r="A87" s="579"/>
      <c r="B87" s="538" t="s">
        <v>2696</v>
      </c>
      <c r="C87" s="554"/>
      <c r="D87" s="554"/>
      <c r="E87" s="554"/>
      <c r="F87" s="554"/>
      <c r="G87" s="554"/>
      <c r="H87" s="554"/>
      <c r="I87" s="554"/>
      <c r="J87" s="554"/>
      <c r="K87" s="554"/>
      <c r="L87" s="580"/>
      <c r="M87" s="581"/>
      <c r="N87" s="1151"/>
      <c r="O87" s="1151"/>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1"/>
      <c r="Q88" s="504"/>
    </row>
    <row r="89" spans="1:17" s="117" customFormat="1" ht="15.75" thickTop="1">
      <c r="A89" s="579"/>
      <c r="B89" s="538" t="str">
        <f>B27</f>
        <v>楼层</v>
      </c>
      <c r="C89" s="554"/>
      <c r="D89" s="554"/>
      <c r="E89" s="554"/>
      <c r="F89" s="2632"/>
      <c r="G89" s="554"/>
      <c r="H89" s="554"/>
      <c r="I89" s="554"/>
      <c r="J89" s="554"/>
      <c r="K89" s="554"/>
      <c r="L89" s="554"/>
      <c r="M89" s="581"/>
      <c r="N89" s="1151"/>
      <c r="O89" s="1151"/>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2"/>
      <c r="Q92" s="559"/>
    </row>
    <row r="93" spans="1:17" ht="15.75" thickTop="1">
      <c r="A93" s="534"/>
      <c r="B93" s="538">
        <f>B29</f>
        <v>111</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111</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111</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111</v>
      </c>
      <c r="C99" s="523"/>
      <c r="D99" s="523"/>
      <c r="E99" s="523"/>
      <c r="F99" s="523"/>
      <c r="G99" s="587"/>
      <c r="H99" s="587"/>
      <c r="I99" s="587"/>
      <c r="J99" s="587"/>
      <c r="K99" s="588"/>
      <c r="L99" s="589"/>
      <c r="M99" s="590"/>
      <c r="N99" s="1152"/>
      <c r="O99" s="1152"/>
      <c r="P99" s="2681"/>
      <c r="Q99" s="504"/>
    </row>
    <row r="100" spans="1:17" ht="15.75" thickBot="1">
      <c r="A100" s="2633"/>
      <c r="B100" s="569"/>
      <c r="C100" s="570"/>
      <c r="D100" s="570"/>
      <c r="E100" s="570"/>
      <c r="F100" s="570"/>
      <c r="G100" s="591"/>
      <c r="H100" s="591"/>
      <c r="I100" s="591"/>
      <c r="J100" s="591"/>
      <c r="K100" s="591"/>
      <c r="L100" s="591"/>
      <c r="M100" s="592"/>
      <c r="N100" s="1153"/>
      <c r="O100" s="1153"/>
      <c r="P100" s="2681"/>
      <c r="Q100" s="504"/>
    </row>
    <row r="101" spans="1:17">
      <c r="A101" s="527" t="s">
        <v>2560</v>
      </c>
      <c r="B101" s="528" t="s">
        <v>2609</v>
      </c>
      <c r="C101" s="530"/>
      <c r="D101" s="530"/>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1"/>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1"/>
      <c r="Q103" s="504"/>
    </row>
    <row r="104" spans="1:17" s="471" customFormat="1">
      <c r="A104" s="593"/>
      <c r="B104" s="594"/>
      <c r="C104" s="595"/>
      <c r="D104" s="595"/>
      <c r="E104" s="595"/>
      <c r="F104" s="595"/>
      <c r="G104" s="595"/>
      <c r="H104" s="595"/>
      <c r="I104" s="595"/>
      <c r="J104" s="596"/>
      <c r="K104" s="596"/>
      <c r="L104" s="597"/>
      <c r="M104" s="598"/>
      <c r="N104" s="1154"/>
      <c r="O104" s="1154"/>
      <c r="P104" s="2682"/>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2"/>
      <c r="Q105" s="559"/>
    </row>
    <row r="106" spans="1:17" ht="15" thickTop="1">
      <c r="A106" s="599"/>
      <c r="B106" s="538" t="s">
        <v>2611</v>
      </c>
      <c r="C106" s="554"/>
      <c r="D106" s="554"/>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1"/>
      <c r="Q107" s="504"/>
    </row>
    <row r="108" spans="1:17" ht="15" thickTop="1">
      <c r="A108" s="599"/>
      <c r="B108" s="538" t="s">
        <v>2613</v>
      </c>
      <c r="C108" s="554"/>
      <c r="D108" s="554"/>
      <c r="E108" s="554"/>
      <c r="F108" s="583"/>
      <c r="G108" s="583"/>
      <c r="H108" s="583"/>
      <c r="I108" s="583"/>
      <c r="J108" s="583"/>
      <c r="K108" s="584"/>
      <c r="L108" s="585"/>
      <c r="M108" s="586"/>
      <c r="N108" s="1152"/>
      <c r="O108" s="1152"/>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1"/>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1"/>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2"/>
      <c r="Q114" s="559"/>
    </row>
    <row r="115" spans="1:17" ht="15" thickTop="1">
      <c r="A115" s="599"/>
      <c r="B115" s="538" t="s">
        <v>2614</v>
      </c>
      <c r="C115" s="554"/>
      <c r="D115" s="554"/>
      <c r="E115" s="583"/>
      <c r="F115" s="583"/>
      <c r="G115" s="583"/>
      <c r="H115" s="583"/>
      <c r="I115" s="583"/>
      <c r="J115" s="583"/>
      <c r="K115" s="584"/>
      <c r="L115" s="585"/>
      <c r="M115" s="586"/>
      <c r="N115" s="1152"/>
      <c r="O115" s="1152"/>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1"/>
      <c r="Q116" s="504"/>
    </row>
    <row r="117" spans="1:17" ht="15" thickTop="1">
      <c r="A117" s="599"/>
      <c r="B117" s="538" t="s">
        <v>2615</v>
      </c>
      <c r="C117" s="554"/>
      <c r="D117" s="554"/>
      <c r="E117" s="554"/>
      <c r="F117" s="554"/>
      <c r="G117" s="554"/>
      <c r="H117" s="583"/>
      <c r="I117" s="583"/>
      <c r="J117" s="583"/>
      <c r="K117" s="584"/>
      <c r="L117" s="585"/>
      <c r="M117" s="586"/>
      <c r="N117" s="1152"/>
      <c r="O117" s="1152"/>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1"/>
      <c r="Q118" s="504"/>
    </row>
    <row r="119" spans="1:17" ht="15" thickTop="1">
      <c r="A119" s="599"/>
      <c r="B119" s="636" t="s">
        <v>2698</v>
      </c>
      <c r="C119" s="583"/>
      <c r="D119" s="583"/>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1"/>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2"/>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2"/>
      <c r="Q122" s="559"/>
    </row>
    <row r="123" spans="1:17" ht="15" thickTop="1">
      <c r="A123" s="599"/>
      <c r="B123" s="538" t="s">
        <v>2617</v>
      </c>
      <c r="C123" s="554"/>
      <c r="D123" s="554"/>
      <c r="E123" s="554"/>
      <c r="F123" s="583"/>
      <c r="G123" s="583"/>
      <c r="H123" s="583"/>
      <c r="I123" s="583"/>
      <c r="J123" s="583"/>
      <c r="K123" s="584"/>
      <c r="L123" s="585"/>
      <c r="M123" s="586"/>
      <c r="N123" s="1152"/>
      <c r="O123" s="1152"/>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1"/>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111</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111</v>
      </c>
      <c r="C131" s="523"/>
      <c r="D131" s="523"/>
      <c r="E131" s="523"/>
      <c r="F131" s="523"/>
      <c r="G131" s="587"/>
      <c r="H131" s="587"/>
      <c r="I131" s="587"/>
      <c r="J131" s="587"/>
      <c r="K131" s="523"/>
      <c r="L131" s="524"/>
      <c r="M131" s="590"/>
      <c r="N131" s="1152"/>
      <c r="O131" s="1152"/>
      <c r="P131" s="2681"/>
      <c r="Q131" s="504"/>
    </row>
    <row r="132" spans="1:17" ht="15.75"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北京康拉德房地产开发有限公司：</v>
      </c>
    </row>
    <row r="4" spans="1:1" ht="36">
      <c r="A4" s="1946" t="str">
        <f>"受贵公司委托，我公司对"&amp;项目基本情况!S1&amp;"进行了预评估。"</f>
        <v>受贵公司委托，我公司对北京市朝阳区东三环北路29号楼-4至25层101号房地产抵押价值进行了预评估。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北路29号楼-4至25层101号房地产，为北京康拉德房地产开发有限公司所有。根据《国有土地使用证》[]，估价对象（分摊）出让国有建设用地使用权面积为7779.45平方米，建筑面积为51328.59平方米。</v>
      </c>
    </row>
    <row r="8" spans="1:1" ht="57.75">
      <c r="A8" s="1949" t="s">
        <v>1608</v>
      </c>
    </row>
    <row r="9" spans="1:1" ht="18.75">
      <c r="A9" s="1948" t="s">
        <v>1609</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北路29号楼-4至25层101号房地产,属北京康拉德房地产开发有限公司开发建设的商业项目，该项目尚在开发建设中。根据《国有土地使用证》[]，估价对象（分摊）出让国有建设用地使用权面积为7779.45平方米，规划建筑面积为51328.59平方米。</v>
      </c>
    </row>
    <row r="11" spans="1:1" ht="76.5">
      <c r="A11" s="1949" t="s">
        <v>1610</v>
      </c>
    </row>
    <row r="12" spans="1:1" ht="18.75">
      <c r="A12" s="1947" t="s">
        <v>1611</v>
      </c>
    </row>
    <row r="13" spans="1:1" ht="38.25" customHeight="1">
      <c r="A13" s="1950" t="str">
        <f>IF(项目基本情况!B8="抵押",IF(项目基本情况!B5=项目基本情况!B6,定义!C51,定义!B51),定义!D51)</f>
        <v>为估价委托人在向上海浦东发展银行股份有限公司办理贷款手续过程中，确定房地产抵押贷款额度提供参考依据而评估房地产抵押价值。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2020年3月12日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12日，估价对象规划用途为酒店、地下车库，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酒店、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本次评估采用的主估价方法为成本法和收益法。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66" t="s">
        <v>2699</v>
      </c>
      <c r="C1" s="1620" t="s">
        <v>2527</v>
      </c>
      <c r="D1" s="1621"/>
      <c r="E1" s="1630"/>
      <c r="F1" s="2581"/>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83"/>
      <c r="D2" s="1124" t="e">
        <f ca="1">SUMIF(INDIRECT("'"&amp;F2&amp;"'"&amp;"!A:A"),"承租人权益价值",INDIRECT("'"&amp;F2&amp;"'"&amp;"!c:c"))</f>
        <v>#REF!</v>
      </c>
      <c r="E2" s="2584" t="s">
        <v>2325</v>
      </c>
      <c r="F2" s="258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51328.59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38" t="s">
        <v>2643</v>
      </c>
      <c r="D4" s="3239"/>
      <c r="E4" s="3240" t="s">
        <v>2644</v>
      </c>
      <c r="F4" s="3241"/>
      <c r="G4" s="3238" t="s">
        <v>2645</v>
      </c>
      <c r="H4" s="3239"/>
      <c r="I4" s="3238" t="s">
        <v>2646</v>
      </c>
      <c r="J4" s="3239"/>
      <c r="K4" s="610" t="s">
        <v>2647</v>
      </c>
      <c r="L4" s="1130"/>
      <c r="M4" s="1131"/>
      <c r="N4" s="1131"/>
      <c r="O4" s="1131"/>
      <c r="P4" s="3242" t="s">
        <v>2648</v>
      </c>
      <c r="Q4" s="3243"/>
      <c r="R4" s="3225" t="s">
        <v>2644</v>
      </c>
      <c r="S4" s="3226"/>
      <c r="T4" s="3225" t="s">
        <v>2645</v>
      </c>
      <c r="U4" s="3226"/>
      <c r="V4" s="3250" t="s">
        <v>2646</v>
      </c>
      <c r="W4" s="3250"/>
      <c r="X4" s="1812"/>
      <c r="Y4" s="3225" t="s">
        <v>2648</v>
      </c>
      <c r="Z4" s="3226"/>
      <c r="AA4" s="3220" t="s">
        <v>2644</v>
      </c>
      <c r="AB4" s="3221" t="s">
        <v>2645</v>
      </c>
      <c r="AC4" s="3220" t="s">
        <v>2646</v>
      </c>
    </row>
    <row r="5" spans="1:29" ht="15">
      <c r="A5" s="404"/>
      <c r="B5" s="405"/>
      <c r="C5" s="3231" t="s">
        <v>2539</v>
      </c>
      <c r="D5" s="3232"/>
      <c r="E5" s="3229" t="s">
        <v>2540</v>
      </c>
      <c r="F5" s="3230"/>
      <c r="G5" s="3231" t="s">
        <v>2541</v>
      </c>
      <c r="H5" s="3232"/>
      <c r="I5" s="3231" t="s">
        <v>2542</v>
      </c>
      <c r="J5" s="3232"/>
      <c r="K5" s="610"/>
      <c r="L5" s="1130"/>
      <c r="M5" s="1131"/>
      <c r="N5" s="1131"/>
      <c r="O5" s="1131"/>
      <c r="P5" s="3244"/>
      <c r="Q5" s="3245"/>
      <c r="R5" s="3227"/>
      <c r="S5" s="3228"/>
      <c r="T5" s="3227"/>
      <c r="U5" s="3228"/>
      <c r="V5" s="3250"/>
      <c r="W5" s="3250"/>
      <c r="X5" s="1812"/>
      <c r="Y5" s="3227"/>
      <c r="Z5" s="3228"/>
      <c r="AA5" s="3221"/>
      <c r="AB5" s="3221"/>
      <c r="AC5" s="3221"/>
    </row>
    <row r="6" spans="1:29" ht="15.75" thickBot="1">
      <c r="A6" s="406"/>
      <c r="B6" s="407"/>
      <c r="C6" s="3233" t="s">
        <v>2543</v>
      </c>
      <c r="D6" s="3234"/>
      <c r="E6" s="3235" t="s">
        <v>2543</v>
      </c>
      <c r="F6" s="3236"/>
      <c r="G6" s="3233" t="s">
        <v>2543</v>
      </c>
      <c r="H6" s="3234"/>
      <c r="I6" s="3233" t="s">
        <v>2543</v>
      </c>
      <c r="J6" s="3234"/>
      <c r="K6" s="610" t="s">
        <v>2544</v>
      </c>
      <c r="L6" s="1130"/>
      <c r="M6" s="1131"/>
      <c r="N6" s="1131"/>
      <c r="O6" s="1131"/>
      <c r="P6" s="3246"/>
      <c r="Q6" s="3247"/>
      <c r="R6" s="3227"/>
      <c r="S6" s="3228"/>
      <c r="T6" s="3248"/>
      <c r="U6" s="3249"/>
      <c r="V6" s="3250"/>
      <c r="W6" s="3250"/>
      <c r="X6" s="1812"/>
      <c r="Y6" s="3248"/>
      <c r="Z6" s="3249"/>
      <c r="AA6" s="3222"/>
      <c r="AB6" s="3222"/>
      <c r="AC6" s="3222"/>
    </row>
    <row r="7" spans="1:29" s="117" customFormat="1" ht="15.75" thickBot="1">
      <c r="A7" s="408" t="s">
        <v>2545</v>
      </c>
      <c r="B7" s="409"/>
      <c r="C7" s="410">
        <f>'数据-取费表'!B2</f>
        <v>43902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3" t="s">
        <v>2546</v>
      </c>
      <c r="Q7" s="3251"/>
      <c r="R7" s="770" t="s">
        <v>17</v>
      </c>
      <c r="S7" s="771">
        <f t="shared" ref="S7:S15" si="0">F7</f>
        <v>0</v>
      </c>
      <c r="T7" s="770" t="s">
        <v>17</v>
      </c>
      <c r="U7" s="771">
        <f t="shared" ref="U7:U15" si="1">H7</f>
        <v>0</v>
      </c>
      <c r="V7" s="770" t="s">
        <v>17</v>
      </c>
      <c r="W7" s="771">
        <f t="shared" ref="W7:W15" si="2">J7</f>
        <v>0</v>
      </c>
      <c r="X7" s="772"/>
      <c r="Y7" s="3223" t="s">
        <v>2546</v>
      </c>
      <c r="Z7" s="3224"/>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3" t="s">
        <v>2549</v>
      </c>
      <c r="Q8" s="3224"/>
      <c r="R8" s="770" t="s">
        <v>17</v>
      </c>
      <c r="S8" s="771">
        <f t="shared" si="0"/>
        <v>0</v>
      </c>
      <c r="T8" s="770" t="s">
        <v>17</v>
      </c>
      <c r="U8" s="771">
        <f t="shared" si="1"/>
        <v>0</v>
      </c>
      <c r="V8" s="770" t="s">
        <v>17</v>
      </c>
      <c r="W8" s="771">
        <f t="shared" si="2"/>
        <v>0</v>
      </c>
      <c r="X8" s="772"/>
      <c r="Y8" s="3223" t="s">
        <v>2549</v>
      </c>
      <c r="Z8" s="3224"/>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55" t="s">
        <v>2552</v>
      </c>
      <c r="Q9" s="1794" t="str">
        <f t="shared" ref="Q9:Q15" si="6">B9</f>
        <v>用途</v>
      </c>
      <c r="R9" s="770" t="s">
        <v>17</v>
      </c>
      <c r="S9" s="771">
        <f t="shared" si="0"/>
        <v>100</v>
      </c>
      <c r="T9" s="770" t="s">
        <v>17</v>
      </c>
      <c r="U9" s="771">
        <f t="shared" si="1"/>
        <v>100</v>
      </c>
      <c r="V9" s="770" t="s">
        <v>17</v>
      </c>
      <c r="W9" s="771">
        <f t="shared" si="2"/>
        <v>100</v>
      </c>
      <c r="X9" s="772"/>
      <c r="Y9" s="304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55"/>
      <c r="Q10" s="1794"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55"/>
      <c r="Q11" s="1794"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2"/>
      <c r="M12" s="1133"/>
      <c r="N12" s="1133"/>
      <c r="O12" s="1134"/>
      <c r="P12" s="3255"/>
      <c r="Q12" s="1794">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0"/>
      <c r="M13" s="1131"/>
      <c r="N13" s="1131"/>
      <c r="O13" s="1139"/>
      <c r="P13" s="3255"/>
      <c r="Q13" s="1794">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0"/>
      <c r="M14" s="1131"/>
      <c r="N14" s="1131"/>
      <c r="O14" s="1139"/>
      <c r="P14" s="3255"/>
      <c r="Q14" s="1794">
        <f t="shared" si="6"/>
        <v>111</v>
      </c>
      <c r="R14" s="770" t="s">
        <v>17</v>
      </c>
      <c r="S14" s="771">
        <f t="shared" si="0"/>
        <v>100</v>
      </c>
      <c r="T14" s="770" t="s">
        <v>17</v>
      </c>
      <c r="U14" s="771">
        <f t="shared" si="1"/>
        <v>100</v>
      </c>
      <c r="V14" s="770" t="s">
        <v>17</v>
      </c>
      <c r="W14" s="771">
        <f t="shared" si="2"/>
        <v>100</v>
      </c>
      <c r="X14" s="772"/>
      <c r="Y14" s="3047"/>
      <c r="Z14" s="55">
        <f t="shared" si="7"/>
        <v>111</v>
      </c>
      <c r="AA14" s="773">
        <f t="shared" si="3"/>
        <v>1</v>
      </c>
      <c r="AB14" s="773">
        <f t="shared" si="4"/>
        <v>1</v>
      </c>
      <c r="AC14" s="773">
        <f t="shared" si="5"/>
        <v>1</v>
      </c>
    </row>
    <row r="15" spans="1:29" ht="57">
      <c r="A15" s="440" t="s">
        <v>2556</v>
      </c>
      <c r="B15" s="69" t="s">
        <v>2700</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57" t="s">
        <v>2557</v>
      </c>
      <c r="Q15" s="1809" t="str">
        <f t="shared" si="6"/>
        <v>产业集聚程度</v>
      </c>
      <c r="R15" s="774" t="s">
        <v>17</v>
      </c>
      <c r="S15" s="775">
        <f t="shared" si="0"/>
        <v>100</v>
      </c>
      <c r="T15" s="774" t="s">
        <v>17</v>
      </c>
      <c r="U15" s="775">
        <f t="shared" si="1"/>
        <v>100</v>
      </c>
      <c r="V15" s="774" t="s">
        <v>17</v>
      </c>
      <c r="W15" s="775">
        <f t="shared" si="2"/>
        <v>100</v>
      </c>
      <c r="X15" s="1812"/>
      <c r="Y15" s="3257" t="s">
        <v>2557</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58"/>
      <c r="Q16" s="1809"/>
      <c r="R16" s="774"/>
      <c r="S16" s="775"/>
      <c r="T16" s="774"/>
      <c r="U16" s="775"/>
      <c r="V16" s="774"/>
      <c r="W16" s="775"/>
      <c r="X16" s="1812"/>
      <c r="Y16" s="3258"/>
      <c r="Z16" s="1813"/>
      <c r="AA16" s="1810">
        <v>1</v>
      </c>
      <c r="AB16" s="1810">
        <v>1</v>
      </c>
      <c r="AC16" s="1810">
        <v>1</v>
      </c>
    </row>
    <row r="17" spans="1:29" ht="85.5">
      <c r="A17" s="428"/>
      <c r="B17" s="451" t="s">
        <v>2093</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58"/>
      <c r="Q17" s="1809" t="str">
        <f>B17</f>
        <v>交通便捷度</v>
      </c>
      <c r="R17" s="774" t="s">
        <v>17</v>
      </c>
      <c r="S17" s="775">
        <f>F17</f>
        <v>100</v>
      </c>
      <c r="T17" s="774" t="s">
        <v>17</v>
      </c>
      <c r="U17" s="775">
        <f>H17</f>
        <v>100</v>
      </c>
      <c r="V17" s="774" t="s">
        <v>17</v>
      </c>
      <c r="W17" s="775">
        <f>J17</f>
        <v>100</v>
      </c>
      <c r="X17" s="1812"/>
      <c r="Y17" s="3258"/>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40"/>
      <c r="M18" s="1131"/>
      <c r="N18" s="1131"/>
      <c r="O18" s="1139"/>
      <c r="P18" s="3258"/>
      <c r="Q18" s="1809"/>
      <c r="R18" s="774"/>
      <c r="S18" s="775"/>
      <c r="T18" s="774"/>
      <c r="U18" s="775"/>
      <c r="V18" s="774"/>
      <c r="W18" s="775"/>
      <c r="X18" s="1812"/>
      <c r="Y18" s="3258"/>
      <c r="Z18" s="1813"/>
      <c r="AA18" s="1810">
        <v>1</v>
      </c>
      <c r="AB18" s="1810">
        <v>1</v>
      </c>
      <c r="AC18" s="1810">
        <v>1</v>
      </c>
    </row>
    <row r="19" spans="1:29" ht="42.75">
      <c r="A19" s="428"/>
      <c r="B19" s="451" t="s">
        <v>2685</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58"/>
      <c r="Q19" s="1809" t="str">
        <f>B19</f>
        <v>公共配套设施</v>
      </c>
      <c r="R19" s="774" t="s">
        <v>17</v>
      </c>
      <c r="S19" s="775">
        <f>F19</f>
        <v>100</v>
      </c>
      <c r="T19" s="774" t="s">
        <v>17</v>
      </c>
      <c r="U19" s="775">
        <f>H19</f>
        <v>100</v>
      </c>
      <c r="V19" s="774" t="s">
        <v>17</v>
      </c>
      <c r="W19" s="775">
        <f>J19</f>
        <v>100</v>
      </c>
      <c r="X19" s="1812"/>
      <c r="Y19" s="3258"/>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40"/>
      <c r="M20" s="1131"/>
      <c r="N20" s="1131"/>
      <c r="O20" s="1139"/>
      <c r="P20" s="3258"/>
      <c r="Q20" s="1809"/>
      <c r="R20" s="774"/>
      <c r="S20" s="775"/>
      <c r="T20" s="774"/>
      <c r="U20" s="775"/>
      <c r="V20" s="774"/>
      <c r="W20" s="775"/>
      <c r="X20" s="1812"/>
      <c r="Y20" s="3258"/>
      <c r="Z20" s="1813"/>
      <c r="AA20" s="1810">
        <v>1</v>
      </c>
      <c r="AB20" s="1810">
        <v>1</v>
      </c>
      <c r="AC20" s="1810">
        <v>1</v>
      </c>
    </row>
    <row r="21" spans="1:29" ht="28.5">
      <c r="A21" s="428"/>
      <c r="B21" s="1384" t="s">
        <v>2686</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58"/>
      <c r="Q21" s="1809" t="str">
        <f>B21</f>
        <v>基础设施水平</v>
      </c>
      <c r="R21" s="774" t="s">
        <v>17</v>
      </c>
      <c r="S21" s="775">
        <f>F21</f>
        <v>100</v>
      </c>
      <c r="T21" s="774" t="s">
        <v>17</v>
      </c>
      <c r="U21" s="775">
        <f>H21</f>
        <v>100</v>
      </c>
      <c r="V21" s="774" t="s">
        <v>17</v>
      </c>
      <c r="W21" s="775">
        <f>J21</f>
        <v>100</v>
      </c>
      <c r="X21" s="1812"/>
      <c r="Y21" s="3258"/>
      <c r="Z21" s="1813" t="str">
        <f>Q21</f>
        <v>基础设施水平</v>
      </c>
      <c r="AA21" s="1810">
        <f t="shared" ref="AA21" si="8">D21/F21</f>
        <v>1</v>
      </c>
      <c r="AB21" s="1810">
        <f t="shared" ref="AB21" si="9">D21/H21</f>
        <v>1</v>
      </c>
      <c r="AC21" s="1810">
        <f t="shared" ref="AC21" si="10">D21/J21</f>
        <v>1</v>
      </c>
    </row>
    <row r="22" spans="1:29" ht="15">
      <c r="A22" s="428"/>
      <c r="B22" s="1384"/>
      <c r="C22" s="2605"/>
      <c r="D22" s="448"/>
      <c r="E22" s="447"/>
      <c r="F22" s="449"/>
      <c r="G22" s="447"/>
      <c r="H22" s="448"/>
      <c r="I22" s="447"/>
      <c r="J22" s="448"/>
      <c r="K22" s="1383"/>
      <c r="L22" s="1140"/>
      <c r="M22" s="1131"/>
      <c r="N22" s="1131"/>
      <c r="O22" s="1139"/>
      <c r="P22" s="3258"/>
      <c r="Q22" s="1809"/>
      <c r="R22" s="774"/>
      <c r="S22" s="775"/>
      <c r="T22" s="774"/>
      <c r="U22" s="775"/>
      <c r="V22" s="774"/>
      <c r="W22" s="775"/>
      <c r="X22" s="1812"/>
      <c r="Y22" s="3258"/>
      <c r="Z22" s="1813"/>
      <c r="AA22" s="1810">
        <v>1</v>
      </c>
      <c r="AB22" s="1810">
        <v>1</v>
      </c>
      <c r="AC22" s="1810">
        <v>1</v>
      </c>
    </row>
    <row r="23" spans="1:29" ht="71.25">
      <c r="A23" s="428"/>
      <c r="B23" s="451" t="s">
        <v>2687</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58"/>
      <c r="Q23" s="1809" t="str">
        <f>B23</f>
        <v>环境质量</v>
      </c>
      <c r="R23" s="774" t="s">
        <v>17</v>
      </c>
      <c r="S23" s="775">
        <f>F23</f>
        <v>100</v>
      </c>
      <c r="T23" s="774" t="s">
        <v>17</v>
      </c>
      <c r="U23" s="775">
        <f>H23</f>
        <v>100</v>
      </c>
      <c r="V23" s="774" t="s">
        <v>17</v>
      </c>
      <c r="W23" s="775">
        <f>J23</f>
        <v>100</v>
      </c>
      <c r="X23" s="1812"/>
      <c r="Y23" s="3258"/>
      <c r="Z23" s="1813" t="str">
        <f>Q23</f>
        <v>环境质量</v>
      </c>
      <c r="AA23" s="1810">
        <f t="shared" si="3"/>
        <v>1</v>
      </c>
      <c r="AB23" s="1810">
        <f t="shared" si="4"/>
        <v>1</v>
      </c>
      <c r="AC23" s="1810">
        <f t="shared" si="5"/>
        <v>1</v>
      </c>
    </row>
    <row r="24" spans="1:29" ht="15">
      <c r="A24" s="428"/>
      <c r="B24" s="1384"/>
      <c r="C24" s="447"/>
      <c r="D24" s="448"/>
      <c r="E24" s="2602"/>
      <c r="F24" s="449"/>
      <c r="G24" s="2601"/>
      <c r="H24" s="448"/>
      <c r="I24" s="2602"/>
      <c r="J24" s="448"/>
      <c r="K24" s="615"/>
      <c r="L24" s="1140"/>
      <c r="M24" s="1131"/>
      <c r="N24" s="1131"/>
      <c r="O24" s="1139"/>
      <c r="P24" s="3258"/>
      <c r="Q24" s="1809"/>
      <c r="R24" s="774"/>
      <c r="S24" s="775"/>
      <c r="T24" s="774"/>
      <c r="U24" s="775"/>
      <c r="V24" s="774"/>
      <c r="W24" s="775"/>
      <c r="X24" s="1812"/>
      <c r="Y24" s="3258"/>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58"/>
      <c r="Q25" s="1809">
        <f>B25</f>
        <v>111</v>
      </c>
      <c r="R25" s="774" t="s">
        <v>17</v>
      </c>
      <c r="S25" s="775">
        <f>F25</f>
        <v>100</v>
      </c>
      <c r="T25" s="774" t="s">
        <v>17</v>
      </c>
      <c r="U25" s="775">
        <f>H25</f>
        <v>100</v>
      </c>
      <c r="V25" s="774" t="s">
        <v>17</v>
      </c>
      <c r="W25" s="775">
        <f>J25</f>
        <v>100</v>
      </c>
      <c r="X25" s="1812"/>
      <c r="Y25" s="3258"/>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58"/>
      <c r="Q26" s="1809">
        <f t="shared" ref="Q26:Q40" si="11">B26</f>
        <v>111</v>
      </c>
      <c r="R26" s="774" t="s">
        <v>17</v>
      </c>
      <c r="S26" s="775">
        <f>F26</f>
        <v>100</v>
      </c>
      <c r="T26" s="774" t="s">
        <v>17</v>
      </c>
      <c r="U26" s="775">
        <f>H26</f>
        <v>100</v>
      </c>
      <c r="V26" s="774" t="s">
        <v>17</v>
      </c>
      <c r="W26" s="775">
        <f>J26</f>
        <v>100</v>
      </c>
      <c r="X26" s="1812"/>
      <c r="Y26" s="3258"/>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58"/>
      <c r="Q27" s="1794">
        <f t="shared" si="11"/>
        <v>111</v>
      </c>
      <c r="R27" s="770" t="s">
        <v>17</v>
      </c>
      <c r="S27" s="771">
        <f>F27</f>
        <v>100</v>
      </c>
      <c r="T27" s="770" t="s">
        <v>17</v>
      </c>
      <c r="U27" s="771">
        <f>H27</f>
        <v>100</v>
      </c>
      <c r="V27" s="770" t="s">
        <v>17</v>
      </c>
      <c r="W27" s="771">
        <f>J27</f>
        <v>100</v>
      </c>
      <c r="X27" s="772"/>
      <c r="Y27" s="3258"/>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58"/>
      <c r="Q28" s="1809">
        <f t="shared" si="11"/>
        <v>111</v>
      </c>
      <c r="R28" s="774" t="s">
        <v>17</v>
      </c>
      <c r="S28" s="775">
        <f t="shared" ref="S28:S40" si="12">F28</f>
        <v>100</v>
      </c>
      <c r="T28" s="774" t="s">
        <v>17</v>
      </c>
      <c r="U28" s="775">
        <f t="shared" ref="U28:U40" si="13">H28</f>
        <v>100</v>
      </c>
      <c r="V28" s="774" t="s">
        <v>17</v>
      </c>
      <c r="W28" s="775">
        <f t="shared" ref="W28:W40" si="14">J28</f>
        <v>100</v>
      </c>
      <c r="X28" s="1812"/>
      <c r="Y28" s="3258"/>
      <c r="Z28" s="1813">
        <f t="shared" ref="Z28:Z40" si="15">Q28</f>
        <v>111</v>
      </c>
      <c r="AA28" s="1810">
        <f t="shared" si="3"/>
        <v>1</v>
      </c>
      <c r="AB28" s="1810">
        <f t="shared" si="4"/>
        <v>1</v>
      </c>
      <c r="AC28" s="1810">
        <f t="shared" si="5"/>
        <v>1</v>
      </c>
    </row>
    <row r="29" spans="1:29" ht="28.5">
      <c r="A29" s="466" t="s">
        <v>2560</v>
      </c>
      <c r="B29" s="71" t="s">
        <v>2690</v>
      </c>
      <c r="C29" s="2676"/>
      <c r="D29" s="467">
        <v>100</v>
      </c>
      <c r="E29" s="2676"/>
      <c r="F29" s="461">
        <f>SUMIF(88:88,E29,89:89)-SUMIF(88:88,C29,89:89)+100</f>
        <v>100</v>
      </c>
      <c r="G29" s="2676"/>
      <c r="H29" s="435">
        <f>SUMIF(88:88,G29,89:89)-SUMIF(88:88,C29,89:89)+100</f>
        <v>100</v>
      </c>
      <c r="I29" s="2676"/>
      <c r="J29" s="467">
        <f>SUMIF(88:88,I29,89:89)-SUMIF(88:88,C29,89:89)+100</f>
        <v>100</v>
      </c>
      <c r="K29" s="612"/>
      <c r="L29" s="1140"/>
      <c r="M29" s="1131"/>
      <c r="N29" s="1131"/>
      <c r="O29" s="1139"/>
      <c r="P29" s="3281" t="s">
        <v>2562</v>
      </c>
      <c r="Q29" s="1809" t="str">
        <f t="shared" si="11"/>
        <v>建筑类型</v>
      </c>
      <c r="R29" s="774" t="s">
        <v>17</v>
      </c>
      <c r="S29" s="775">
        <f t="shared" si="12"/>
        <v>100</v>
      </c>
      <c r="T29" s="774" t="s">
        <v>17</v>
      </c>
      <c r="U29" s="775">
        <f t="shared" si="13"/>
        <v>100</v>
      </c>
      <c r="V29" s="774" t="s">
        <v>17</v>
      </c>
      <c r="W29" s="775">
        <f t="shared" si="14"/>
        <v>100</v>
      </c>
      <c r="X29" s="1812"/>
      <c r="Y29" s="3262" t="s">
        <v>2562</v>
      </c>
      <c r="Z29" s="1813" t="str">
        <f t="shared" si="15"/>
        <v>建筑类型</v>
      </c>
      <c r="AA29" s="1810">
        <f t="shared" si="3"/>
        <v>1</v>
      </c>
      <c r="AB29" s="1810">
        <f t="shared" si="4"/>
        <v>1</v>
      </c>
      <c r="AC29" s="1810">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62"/>
      <c r="Q30" s="776" t="str">
        <f t="shared" si="11"/>
        <v>项目建筑规模</v>
      </c>
      <c r="R30" s="777" t="s">
        <v>17</v>
      </c>
      <c r="S30" s="778" t="e">
        <f t="shared" si="12"/>
        <v>#N/A</v>
      </c>
      <c r="T30" s="777" t="s">
        <v>17</v>
      </c>
      <c r="U30" s="778" t="e">
        <f t="shared" si="13"/>
        <v>#N/A</v>
      </c>
      <c r="V30" s="777" t="s">
        <v>17</v>
      </c>
      <c r="W30" s="778" t="e">
        <f t="shared" si="14"/>
        <v>#N/A</v>
      </c>
      <c r="X30" s="779"/>
      <c r="Y30" s="3262"/>
      <c r="Z30" s="780" t="str">
        <f t="shared" si="15"/>
        <v>项目建筑规模</v>
      </c>
      <c r="AA30" s="1810" t="e">
        <f t="shared" si="3"/>
        <v>#N/A</v>
      </c>
      <c r="AB30" s="1810" t="e">
        <f t="shared" si="4"/>
        <v>#N/A</v>
      </c>
      <c r="AC30" s="1810"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62"/>
      <c r="Q31" s="1809" t="str">
        <f t="shared" si="11"/>
        <v>建筑结构</v>
      </c>
      <c r="R31" s="774" t="s">
        <v>17</v>
      </c>
      <c r="S31" s="775">
        <f t="shared" si="12"/>
        <v>100</v>
      </c>
      <c r="T31" s="774" t="s">
        <v>17</v>
      </c>
      <c r="U31" s="775">
        <f t="shared" si="13"/>
        <v>100</v>
      </c>
      <c r="V31" s="774" t="s">
        <v>17</v>
      </c>
      <c r="W31" s="775">
        <f t="shared" si="14"/>
        <v>100</v>
      </c>
      <c r="X31" s="1812"/>
      <c r="Y31" s="3262"/>
      <c r="Z31" s="1813" t="str">
        <f t="shared" si="15"/>
        <v>建筑结构</v>
      </c>
      <c r="AA31" s="1810">
        <f t="shared" si="3"/>
        <v>1</v>
      </c>
      <c r="AB31" s="1810">
        <f t="shared" si="4"/>
        <v>1</v>
      </c>
      <c r="AC31" s="1810">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62"/>
      <c r="Q32" s="1809" t="str">
        <f t="shared" si="11"/>
        <v>公共部分装修</v>
      </c>
      <c r="R32" s="774" t="s">
        <v>17</v>
      </c>
      <c r="S32" s="775">
        <f t="shared" si="12"/>
        <v>100</v>
      </c>
      <c r="T32" s="774" t="s">
        <v>17</v>
      </c>
      <c r="U32" s="775">
        <f t="shared" si="13"/>
        <v>100</v>
      </c>
      <c r="V32" s="774" t="s">
        <v>17</v>
      </c>
      <c r="W32" s="775">
        <f t="shared" si="14"/>
        <v>100</v>
      </c>
      <c r="X32" s="1812"/>
      <c r="Y32" s="3262"/>
      <c r="Z32" s="1813" t="str">
        <f t="shared" si="15"/>
        <v>公共部分装修</v>
      </c>
      <c r="AA32" s="1810">
        <f t="shared" si="3"/>
        <v>1</v>
      </c>
      <c r="AB32" s="1810">
        <f t="shared" si="4"/>
        <v>1</v>
      </c>
      <c r="AC32" s="1810">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62"/>
      <c r="Q33" s="1809" t="str">
        <f t="shared" si="11"/>
        <v>成新度</v>
      </c>
      <c r="R33" s="774" t="s">
        <v>17</v>
      </c>
      <c r="S33" s="775" t="e">
        <f t="shared" si="12"/>
        <v>#N/A</v>
      </c>
      <c r="T33" s="774" t="s">
        <v>17</v>
      </c>
      <c r="U33" s="775" t="e">
        <f t="shared" si="13"/>
        <v>#N/A</v>
      </c>
      <c r="V33" s="774" t="s">
        <v>17</v>
      </c>
      <c r="W33" s="775" t="e">
        <f t="shared" si="14"/>
        <v>#N/A</v>
      </c>
      <c r="X33" s="1812"/>
      <c r="Y33" s="3262"/>
      <c r="Z33" s="1813" t="str">
        <f t="shared" si="15"/>
        <v>成新度</v>
      </c>
      <c r="AA33" s="1810" t="e">
        <f t="shared" si="3"/>
        <v>#N/A</v>
      </c>
      <c r="AB33" s="1810" t="e">
        <f t="shared" si="4"/>
        <v>#N/A</v>
      </c>
      <c r="AC33" s="1810"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62"/>
      <c r="Q34" s="1794" t="str">
        <f t="shared" si="11"/>
        <v>物业管理</v>
      </c>
      <c r="R34" s="770" t="s">
        <v>17</v>
      </c>
      <c r="S34" s="771">
        <f t="shared" si="12"/>
        <v>100</v>
      </c>
      <c r="T34" s="770" t="s">
        <v>17</v>
      </c>
      <c r="U34" s="771">
        <f t="shared" si="13"/>
        <v>100</v>
      </c>
      <c r="V34" s="770" t="s">
        <v>17</v>
      </c>
      <c r="W34" s="771">
        <f t="shared" si="14"/>
        <v>100</v>
      </c>
      <c r="X34" s="772"/>
      <c r="Y34" s="3262"/>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62" t="s">
        <v>2562</v>
      </c>
      <c r="Q35" s="1809" t="str">
        <f t="shared" si="11"/>
        <v>市政基础设施</v>
      </c>
      <c r="R35" s="774" t="s">
        <v>17</v>
      </c>
      <c r="S35" s="775">
        <f t="shared" si="12"/>
        <v>100</v>
      </c>
      <c r="T35" s="774" t="s">
        <v>17</v>
      </c>
      <c r="U35" s="775">
        <f t="shared" si="13"/>
        <v>100</v>
      </c>
      <c r="V35" s="774" t="s">
        <v>17</v>
      </c>
      <c r="W35" s="775">
        <f t="shared" si="14"/>
        <v>100</v>
      </c>
      <c r="X35" s="1812"/>
      <c r="Y35" s="3262" t="s">
        <v>2562</v>
      </c>
      <c r="Z35" s="1813" t="str">
        <f t="shared" si="15"/>
        <v>市政基础设施</v>
      </c>
      <c r="AA35" s="1810">
        <f t="shared" si="3"/>
        <v>1</v>
      </c>
      <c r="AB35" s="1810">
        <f t="shared" si="4"/>
        <v>1</v>
      </c>
      <c r="AC35" s="1810">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62"/>
      <c r="Q36" s="1809" t="str">
        <f t="shared" si="11"/>
        <v>内部装修</v>
      </c>
      <c r="R36" s="774" t="s">
        <v>17</v>
      </c>
      <c r="S36" s="775">
        <f t="shared" si="12"/>
        <v>100</v>
      </c>
      <c r="T36" s="774" t="s">
        <v>17</v>
      </c>
      <c r="U36" s="775">
        <f t="shared" si="13"/>
        <v>100</v>
      </c>
      <c r="V36" s="774" t="s">
        <v>17</v>
      </c>
      <c r="W36" s="775">
        <f t="shared" si="14"/>
        <v>100</v>
      </c>
      <c r="X36" s="1812"/>
      <c r="Y36" s="3262"/>
      <c r="Z36" s="1813" t="str">
        <f t="shared" si="15"/>
        <v>内部装修</v>
      </c>
      <c r="AA36" s="1810">
        <f t="shared" si="3"/>
        <v>1</v>
      </c>
      <c r="AB36" s="1810">
        <f t="shared" si="4"/>
        <v>1</v>
      </c>
      <c r="AC36" s="1810">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62"/>
      <c r="Q37" s="1809" t="str">
        <f t="shared" si="11"/>
        <v>内部装修状况</v>
      </c>
      <c r="R37" s="774" t="s">
        <v>17</v>
      </c>
      <c r="S37" s="775">
        <f t="shared" si="12"/>
        <v>100</v>
      </c>
      <c r="T37" s="774" t="s">
        <v>17</v>
      </c>
      <c r="U37" s="775">
        <f t="shared" si="13"/>
        <v>100</v>
      </c>
      <c r="V37" s="774" t="s">
        <v>17</v>
      </c>
      <c r="W37" s="775">
        <f t="shared" si="14"/>
        <v>100</v>
      </c>
      <c r="X37" s="1812"/>
      <c r="Y37" s="3262"/>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62"/>
      <c r="Q38" s="776">
        <f t="shared" si="11"/>
        <v>111</v>
      </c>
      <c r="R38" s="777" t="s">
        <v>17</v>
      </c>
      <c r="S38" s="778">
        <f t="shared" si="12"/>
        <v>100</v>
      </c>
      <c r="T38" s="777" t="s">
        <v>17</v>
      </c>
      <c r="U38" s="778">
        <f t="shared" si="13"/>
        <v>100</v>
      </c>
      <c r="V38" s="777" t="s">
        <v>17</v>
      </c>
      <c r="W38" s="778">
        <f t="shared" si="14"/>
        <v>100</v>
      </c>
      <c r="X38" s="779"/>
      <c r="Y38" s="3262"/>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62"/>
      <c r="Q39" s="1809">
        <f t="shared" si="11"/>
        <v>111</v>
      </c>
      <c r="R39" s="774" t="s">
        <v>17</v>
      </c>
      <c r="S39" s="775">
        <f t="shared" si="12"/>
        <v>100</v>
      </c>
      <c r="T39" s="774" t="s">
        <v>17</v>
      </c>
      <c r="U39" s="775">
        <f t="shared" si="13"/>
        <v>100</v>
      </c>
      <c r="V39" s="774" t="s">
        <v>17</v>
      </c>
      <c r="W39" s="775">
        <f t="shared" si="14"/>
        <v>100</v>
      </c>
      <c r="X39" s="1812"/>
      <c r="Y39" s="3262"/>
      <c r="Z39" s="1813">
        <f t="shared" si="15"/>
        <v>111</v>
      </c>
      <c r="AA39" s="1810">
        <f t="shared" si="3"/>
        <v>1</v>
      </c>
      <c r="AB39" s="1810">
        <f t="shared" si="4"/>
        <v>1</v>
      </c>
      <c r="AC39" s="1810">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3"/>
      <c r="Q40" s="1809">
        <f t="shared" si="11"/>
        <v>111</v>
      </c>
      <c r="R40" s="774" t="s">
        <v>17</v>
      </c>
      <c r="S40" s="775">
        <f t="shared" si="12"/>
        <v>100</v>
      </c>
      <c r="T40" s="774" t="s">
        <v>17</v>
      </c>
      <c r="U40" s="775">
        <f t="shared" si="13"/>
        <v>100</v>
      </c>
      <c r="V40" s="774" t="s">
        <v>17</v>
      </c>
      <c r="W40" s="775">
        <f t="shared" si="14"/>
        <v>100</v>
      </c>
      <c r="X40" s="1812"/>
      <c r="Y40" s="3263"/>
      <c r="Z40" s="1813">
        <f t="shared" si="15"/>
        <v>111</v>
      </c>
      <c r="AA40" s="1810">
        <f t="shared" si="3"/>
        <v>1</v>
      </c>
      <c r="AB40" s="1810">
        <f t="shared" si="4"/>
        <v>1</v>
      </c>
      <c r="AC40" s="1810">
        <f t="shared" si="5"/>
        <v>1</v>
      </c>
    </row>
    <row r="41" spans="1:29" ht="15">
      <c r="A41" s="479" t="s">
        <v>2574</v>
      </c>
      <c r="B41" s="480"/>
      <c r="C41" s="1407" t="s">
        <v>1</v>
      </c>
      <c r="D41" s="1408"/>
      <c r="E41" s="1409"/>
      <c r="F41" s="1410"/>
      <c r="G41" s="1411"/>
      <c r="H41" s="1412"/>
      <c r="I41" s="1409"/>
      <c r="J41" s="1412"/>
      <c r="K41" s="783"/>
      <c r="L41" s="1143"/>
      <c r="M41" s="1144"/>
      <c r="N41" s="1131"/>
      <c r="O41" s="1144"/>
      <c r="P41" s="3255" t="str">
        <f>A41</f>
        <v>成交单价（元/平方米）</v>
      </c>
      <c r="Q41" s="3255"/>
      <c r="R41" s="3256">
        <f>E41</f>
        <v>0</v>
      </c>
      <c r="S41" s="3256"/>
      <c r="T41" s="3256">
        <f>G41</f>
        <v>0</v>
      </c>
      <c r="U41" s="3256"/>
      <c r="V41" s="3256">
        <f>I41</f>
        <v>0</v>
      </c>
      <c r="W41" s="3256"/>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255" t="str">
        <f>A42</f>
        <v>比较价值（元/平方米）</v>
      </c>
      <c r="Q42" s="3255"/>
      <c r="R42" s="3256" t="e">
        <f>IF(F1="售价",ROUND(PRODUCT(R41,AA7:AA40),0),ROUND(PRODUCT(R41,AA7:AA40),1))</f>
        <v>#DIV/0!</v>
      </c>
      <c r="S42" s="3256"/>
      <c r="T42" s="3256" t="e">
        <f>IF(F1="售价",ROUND(PRODUCT(T41,AB7:AB40),0),ROUND(PRODUCT(T41,AB7:AB40),1))</f>
        <v>#DIV/0!</v>
      </c>
      <c r="U42" s="3256"/>
      <c r="V42" s="3256" t="e">
        <f>IF(F1="售价",ROUND(PRODUCT(V41,AC7:AC40),0),ROUND(PRODUCT(V41,AC7:AC40),1))</f>
        <v>#DIV/0!</v>
      </c>
      <c r="W42" s="3256"/>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252" t="str">
        <f>A43</f>
        <v>估价对象XX用房的比较价值（楼面单价，元/平方米）</v>
      </c>
      <c r="Q43" s="3253"/>
      <c r="R43" s="3254" t="e">
        <f>IF(F1="售价",ROUND(AVERAGE(R42:V42),0),ROUND(AVERAGE(R42:V42),1))</f>
        <v>#DIV/0!</v>
      </c>
      <c r="S43" s="3254"/>
      <c r="T43" s="3254"/>
      <c r="U43" s="3254"/>
      <c r="V43" s="3254"/>
      <c r="W43" s="325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4" t="str">
        <f>YEAR(C7)&amp;"-"&amp;MONTH(C7)</f>
        <v>2020-3</v>
      </c>
      <c r="D52" s="1575">
        <f>EDATE(C52,-1)</f>
        <v>43862</v>
      </c>
      <c r="E52" s="1575">
        <f t="shared" ref="E52:O52" si="16">EDATE(D52,-1)</f>
        <v>43831</v>
      </c>
      <c r="F52" s="1575">
        <f t="shared" si="16"/>
        <v>43800</v>
      </c>
      <c r="G52" s="1575">
        <f t="shared" si="16"/>
        <v>43770</v>
      </c>
      <c r="H52" s="1575">
        <f t="shared" si="16"/>
        <v>43739</v>
      </c>
      <c r="I52" s="1575">
        <f t="shared" si="16"/>
        <v>43709</v>
      </c>
      <c r="J52" s="1575">
        <f t="shared" si="16"/>
        <v>43678</v>
      </c>
      <c r="K52" s="1575">
        <f t="shared" si="16"/>
        <v>43647</v>
      </c>
      <c r="L52" s="1575">
        <f t="shared" si="16"/>
        <v>43617</v>
      </c>
      <c r="M52" s="1575">
        <f t="shared" si="16"/>
        <v>43586</v>
      </c>
      <c r="N52" s="1575">
        <f t="shared" si="16"/>
        <v>43556</v>
      </c>
      <c r="O52" s="1575">
        <f t="shared" si="16"/>
        <v>43525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3"/>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22"/>
      <c r="F1" s="2581"/>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3"/>
      <c r="D2" s="1124" t="e">
        <f ca="1">SUMIF(INDIRECT("'"&amp;F2&amp;"'"&amp;"!A:A"),"承租人权益价值",INDIRECT("'"&amp;F2&amp;"'"&amp;"!c:c"))</f>
        <v>#REF!</v>
      </c>
      <c r="E2" s="2584" t="s">
        <v>2325</v>
      </c>
      <c r="F2" s="258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238" t="s">
        <v>2643</v>
      </c>
      <c r="D4" s="3239"/>
      <c r="E4" s="3240" t="s">
        <v>2644</v>
      </c>
      <c r="F4" s="3241"/>
      <c r="G4" s="3238" t="s">
        <v>2645</v>
      </c>
      <c r="H4" s="3239"/>
      <c r="I4" s="3238" t="s">
        <v>2646</v>
      </c>
      <c r="J4" s="3239"/>
      <c r="K4" s="610" t="s">
        <v>2647</v>
      </c>
      <c r="L4" s="1130"/>
      <c r="M4" s="1131"/>
      <c r="N4" s="1131"/>
      <c r="O4" s="1131"/>
      <c r="P4" s="3242" t="s">
        <v>2648</v>
      </c>
      <c r="Q4" s="3243"/>
      <c r="R4" s="3225" t="s">
        <v>2644</v>
      </c>
      <c r="S4" s="3226"/>
      <c r="T4" s="3225" t="s">
        <v>2645</v>
      </c>
      <c r="U4" s="3226"/>
      <c r="V4" s="3250" t="s">
        <v>2646</v>
      </c>
      <c r="W4" s="3250"/>
      <c r="X4" s="1812"/>
      <c r="Y4" s="3225" t="s">
        <v>2648</v>
      </c>
      <c r="Z4" s="3226"/>
      <c r="AA4" s="3220" t="s">
        <v>2644</v>
      </c>
      <c r="AB4" s="3221" t="s">
        <v>2645</v>
      </c>
      <c r="AC4" s="3220" t="s">
        <v>2646</v>
      </c>
    </row>
    <row r="5" spans="1:29" ht="15">
      <c r="A5" s="404"/>
      <c r="B5" s="405"/>
      <c r="C5" s="3231" t="s">
        <v>2539</v>
      </c>
      <c r="D5" s="3232"/>
      <c r="E5" s="3229" t="s">
        <v>2540</v>
      </c>
      <c r="F5" s="3230"/>
      <c r="G5" s="3231" t="s">
        <v>2541</v>
      </c>
      <c r="H5" s="3232"/>
      <c r="I5" s="3231" t="s">
        <v>2542</v>
      </c>
      <c r="J5" s="3232"/>
      <c r="K5" s="610"/>
      <c r="L5" s="1130"/>
      <c r="M5" s="1131"/>
      <c r="N5" s="1131"/>
      <c r="O5" s="1131"/>
      <c r="P5" s="3244"/>
      <c r="Q5" s="3245"/>
      <c r="R5" s="3227"/>
      <c r="S5" s="3228"/>
      <c r="T5" s="3227"/>
      <c r="U5" s="3228"/>
      <c r="V5" s="3250"/>
      <c r="W5" s="3250"/>
      <c r="X5" s="1812"/>
      <c r="Y5" s="3227"/>
      <c r="Z5" s="3228"/>
      <c r="AA5" s="3221"/>
      <c r="AB5" s="3221"/>
      <c r="AC5" s="3221"/>
    </row>
    <row r="6" spans="1:29" ht="15.75" thickBot="1">
      <c r="A6" s="406"/>
      <c r="B6" s="407"/>
      <c r="C6" s="3233" t="s">
        <v>2543</v>
      </c>
      <c r="D6" s="3234"/>
      <c r="E6" s="3235" t="s">
        <v>2543</v>
      </c>
      <c r="F6" s="3236"/>
      <c r="G6" s="3233" t="s">
        <v>2543</v>
      </c>
      <c r="H6" s="3234"/>
      <c r="I6" s="3233" t="s">
        <v>2543</v>
      </c>
      <c r="J6" s="3234"/>
      <c r="K6" s="610" t="s">
        <v>2544</v>
      </c>
      <c r="L6" s="1130"/>
      <c r="M6" s="1131"/>
      <c r="N6" s="1131"/>
      <c r="O6" s="1131"/>
      <c r="P6" s="3246"/>
      <c r="Q6" s="3247"/>
      <c r="R6" s="3227"/>
      <c r="S6" s="3228"/>
      <c r="T6" s="3248"/>
      <c r="U6" s="3249"/>
      <c r="V6" s="3250"/>
      <c r="W6" s="3250"/>
      <c r="X6" s="1812"/>
      <c r="Y6" s="3248"/>
      <c r="Z6" s="3249"/>
      <c r="AA6" s="3222"/>
      <c r="AB6" s="3222"/>
      <c r="AC6" s="3222"/>
    </row>
    <row r="7" spans="1:29" s="117" customFormat="1" ht="15.75" thickBot="1">
      <c r="A7" s="408" t="s">
        <v>2545</v>
      </c>
      <c r="B7" s="409"/>
      <c r="C7" s="410">
        <f>'数据-取费表'!B2</f>
        <v>43902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3" t="s">
        <v>2546</v>
      </c>
      <c r="Q7" s="3251"/>
      <c r="R7" s="770" t="s">
        <v>17</v>
      </c>
      <c r="S7" s="771">
        <f t="shared" ref="S7:S14" si="0">F7</f>
        <v>0</v>
      </c>
      <c r="T7" s="770" t="s">
        <v>17</v>
      </c>
      <c r="U7" s="771">
        <f t="shared" ref="U7:U14" si="1">H7</f>
        <v>0</v>
      </c>
      <c r="V7" s="770" t="s">
        <v>17</v>
      </c>
      <c r="W7" s="771">
        <f t="shared" ref="W7:W14" si="2">J7</f>
        <v>0</v>
      </c>
      <c r="X7" s="772"/>
      <c r="Y7" s="3223" t="s">
        <v>2546</v>
      </c>
      <c r="Z7" s="3224"/>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3" t="s">
        <v>2549</v>
      </c>
      <c r="Q8" s="3224"/>
      <c r="R8" s="770" t="s">
        <v>17</v>
      </c>
      <c r="S8" s="771">
        <f t="shared" si="0"/>
        <v>0</v>
      </c>
      <c r="T8" s="770" t="s">
        <v>17</v>
      </c>
      <c r="U8" s="771">
        <f t="shared" si="1"/>
        <v>0</v>
      </c>
      <c r="V8" s="770" t="s">
        <v>17</v>
      </c>
      <c r="W8" s="771">
        <f t="shared" si="2"/>
        <v>0</v>
      </c>
      <c r="X8" s="772"/>
      <c r="Y8" s="3223" t="s">
        <v>2549</v>
      </c>
      <c r="Z8" s="3224"/>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55" t="s">
        <v>2552</v>
      </c>
      <c r="Q9" s="1794" t="str">
        <f t="shared" ref="Q9:Q14" si="6">B9</f>
        <v>用途</v>
      </c>
      <c r="R9" s="770" t="s">
        <v>17</v>
      </c>
      <c r="S9" s="771">
        <f t="shared" si="0"/>
        <v>100</v>
      </c>
      <c r="T9" s="770" t="s">
        <v>17</v>
      </c>
      <c r="U9" s="771">
        <f t="shared" si="1"/>
        <v>100</v>
      </c>
      <c r="V9" s="770" t="s">
        <v>17</v>
      </c>
      <c r="W9" s="771">
        <f t="shared" si="2"/>
        <v>100</v>
      </c>
      <c r="X9" s="772"/>
      <c r="Y9" s="3047"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55"/>
      <c r="Q10" s="1794"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55"/>
      <c r="Q11" s="1794">
        <f t="shared" si="6"/>
        <v>111</v>
      </c>
      <c r="R11" s="770" t="s">
        <v>17</v>
      </c>
      <c r="S11" s="771">
        <f t="shared" si="0"/>
        <v>100</v>
      </c>
      <c r="T11" s="770" t="s">
        <v>17</v>
      </c>
      <c r="U11" s="771">
        <f t="shared" si="1"/>
        <v>100</v>
      </c>
      <c r="V11" s="770" t="s">
        <v>17</v>
      </c>
      <c r="W11" s="771">
        <f t="shared" si="2"/>
        <v>100</v>
      </c>
      <c r="X11" s="772"/>
      <c r="Y11" s="304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55"/>
      <c r="Q12" s="1794">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55"/>
      <c r="Q13" s="1794">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85.5">
      <c r="A14" s="401" t="s">
        <v>2556</v>
      </c>
      <c r="B14" s="629" t="s">
        <v>2706</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57" t="s">
        <v>2557</v>
      </c>
      <c r="Q14" s="1809" t="str">
        <f t="shared" si="6"/>
        <v>交通便捷度</v>
      </c>
      <c r="R14" s="774" t="s">
        <v>17</v>
      </c>
      <c r="S14" s="775">
        <f t="shared" si="0"/>
        <v>100</v>
      </c>
      <c r="T14" s="774" t="s">
        <v>17</v>
      </c>
      <c r="U14" s="775">
        <f t="shared" si="1"/>
        <v>100</v>
      </c>
      <c r="V14" s="774" t="s">
        <v>17</v>
      </c>
      <c r="W14" s="775">
        <f t="shared" si="2"/>
        <v>100</v>
      </c>
      <c r="X14" s="1812"/>
      <c r="Y14" s="3257" t="s">
        <v>2557</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58"/>
      <c r="Q15" s="1809"/>
      <c r="R15" s="774"/>
      <c r="S15" s="775"/>
      <c r="T15" s="774"/>
      <c r="U15" s="775"/>
      <c r="V15" s="774"/>
      <c r="W15" s="775"/>
      <c r="X15" s="1812"/>
      <c r="Y15" s="3258"/>
      <c r="Z15" s="1813"/>
      <c r="AA15" s="1810">
        <v>1</v>
      </c>
      <c r="AB15" s="1810">
        <v>1</v>
      </c>
      <c r="AC15" s="1810">
        <v>1</v>
      </c>
    </row>
    <row r="16" spans="1:29" ht="42.75">
      <c r="A16" s="404"/>
      <c r="B16" s="631" t="s">
        <v>2685</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58"/>
      <c r="Q16" s="1809" t="str">
        <f>B16</f>
        <v>公共配套设施</v>
      </c>
      <c r="R16" s="774" t="s">
        <v>17</v>
      </c>
      <c r="S16" s="775">
        <f>F16</f>
        <v>100</v>
      </c>
      <c r="T16" s="774" t="s">
        <v>17</v>
      </c>
      <c r="U16" s="775">
        <f>H16</f>
        <v>100</v>
      </c>
      <c r="V16" s="774" t="s">
        <v>17</v>
      </c>
      <c r="W16" s="775">
        <f>J16</f>
        <v>100</v>
      </c>
      <c r="X16" s="1812"/>
      <c r="Y16" s="3258"/>
      <c r="Z16" s="1813" t="str">
        <f>Q16</f>
        <v>公共配套设施</v>
      </c>
      <c r="AA16" s="1810">
        <f t="shared" si="3"/>
        <v>1</v>
      </c>
      <c r="AB16" s="1810">
        <f t="shared" si="4"/>
        <v>1</v>
      </c>
      <c r="AC16" s="1810">
        <f t="shared" si="5"/>
        <v>1</v>
      </c>
    </row>
    <row r="17" spans="1:29" ht="15">
      <c r="A17" s="404"/>
      <c r="B17" s="632"/>
      <c r="C17" s="2605"/>
      <c r="D17" s="448"/>
      <c r="E17" s="447"/>
      <c r="F17" s="449"/>
      <c r="G17" s="447"/>
      <c r="H17" s="448"/>
      <c r="I17" s="447"/>
      <c r="J17" s="448"/>
      <c r="K17" s="615"/>
      <c r="L17" s="1140"/>
      <c r="M17" s="1131"/>
      <c r="N17" s="1131"/>
      <c r="O17" s="1131"/>
      <c r="P17" s="3258"/>
      <c r="Q17" s="1809"/>
      <c r="R17" s="774"/>
      <c r="S17" s="775"/>
      <c r="T17" s="774"/>
      <c r="U17" s="775"/>
      <c r="V17" s="774"/>
      <c r="W17" s="775"/>
      <c r="X17" s="1812"/>
      <c r="Y17" s="3258"/>
      <c r="Z17" s="1813"/>
      <c r="AA17" s="1810">
        <v>1</v>
      </c>
      <c r="AB17" s="1810">
        <v>1</v>
      </c>
      <c r="AC17" s="1810">
        <v>1</v>
      </c>
    </row>
    <row r="18" spans="1:29" ht="28.5">
      <c r="A18" s="404"/>
      <c r="B18" s="633" t="s">
        <v>2686</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58"/>
      <c r="Q18" s="1809" t="str">
        <f>B18</f>
        <v>基础设施水平</v>
      </c>
      <c r="R18" s="774" t="s">
        <v>17</v>
      </c>
      <c r="S18" s="775">
        <f>F18</f>
        <v>100</v>
      </c>
      <c r="T18" s="774" t="s">
        <v>17</v>
      </c>
      <c r="U18" s="775">
        <f>H18</f>
        <v>100</v>
      </c>
      <c r="V18" s="774" t="s">
        <v>17</v>
      </c>
      <c r="W18" s="775">
        <f>J18</f>
        <v>100</v>
      </c>
      <c r="X18" s="1812"/>
      <c r="Y18" s="3258"/>
      <c r="Z18" s="1813" t="str">
        <f>Q18</f>
        <v>基础设施水平</v>
      </c>
      <c r="AA18" s="1810">
        <f t="shared" ref="AA18" si="8">D18/F18</f>
        <v>1</v>
      </c>
      <c r="AB18" s="1810">
        <f t="shared" ref="AB18" si="9">D18/H18</f>
        <v>1</v>
      </c>
      <c r="AC18" s="1810">
        <f t="shared" ref="AC18" si="10">D18/J18</f>
        <v>1</v>
      </c>
    </row>
    <row r="19" spans="1:29" ht="15">
      <c r="A19" s="404"/>
      <c r="B19" s="633"/>
      <c r="C19" s="2605"/>
      <c r="D19" s="450"/>
      <c r="E19" s="2605"/>
      <c r="F19" s="453"/>
      <c r="G19" s="2605"/>
      <c r="H19" s="448"/>
      <c r="I19" s="447"/>
      <c r="J19" s="448"/>
      <c r="K19" s="1383"/>
      <c r="L19" s="1140"/>
      <c r="M19" s="1131"/>
      <c r="N19" s="1131"/>
      <c r="O19" s="1131"/>
      <c r="P19" s="3258"/>
      <c r="Q19" s="1809"/>
      <c r="R19" s="774"/>
      <c r="S19" s="775"/>
      <c r="T19" s="774"/>
      <c r="U19" s="775"/>
      <c r="V19" s="774"/>
      <c r="W19" s="775"/>
      <c r="X19" s="1812"/>
      <c r="Y19" s="3258"/>
      <c r="Z19" s="1813"/>
      <c r="AA19" s="1810">
        <v>1</v>
      </c>
      <c r="AB19" s="1810">
        <v>1</v>
      </c>
      <c r="AC19" s="1810">
        <v>1</v>
      </c>
    </row>
    <row r="20" spans="1:29" ht="57">
      <c r="A20" s="404"/>
      <c r="B20" s="631" t="s">
        <v>2707</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58"/>
      <c r="Q20" s="1809" t="str">
        <f>B20</f>
        <v>自然及人文环境</v>
      </c>
      <c r="R20" s="774" t="s">
        <v>17</v>
      </c>
      <c r="S20" s="775">
        <f>F20</f>
        <v>100</v>
      </c>
      <c r="T20" s="774" t="s">
        <v>17</v>
      </c>
      <c r="U20" s="775">
        <f>H20</f>
        <v>100</v>
      </c>
      <c r="V20" s="774" t="s">
        <v>17</v>
      </c>
      <c r="W20" s="775">
        <f>J20</f>
        <v>100</v>
      </c>
      <c r="X20" s="1812"/>
      <c r="Y20" s="3258"/>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58"/>
      <c r="Q21" s="1809"/>
      <c r="R21" s="774"/>
      <c r="S21" s="775"/>
      <c r="T21" s="774"/>
      <c r="U21" s="775"/>
      <c r="V21" s="774"/>
      <c r="W21" s="775"/>
      <c r="X21" s="1812"/>
      <c r="Y21" s="3258"/>
      <c r="Z21" s="1813"/>
      <c r="AA21" s="1810">
        <v>1</v>
      </c>
      <c r="AB21" s="1810">
        <v>1</v>
      </c>
      <c r="AC21" s="1810">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58"/>
      <c r="Q22" s="1809" t="str">
        <f>B22</f>
        <v>楼层</v>
      </c>
      <c r="R22" s="774" t="s">
        <v>17</v>
      </c>
      <c r="S22" s="775">
        <f>F22</f>
        <v>100</v>
      </c>
      <c r="T22" s="774" t="s">
        <v>17</v>
      </c>
      <c r="U22" s="775">
        <f>H22</f>
        <v>100</v>
      </c>
      <c r="V22" s="774" t="s">
        <v>17</v>
      </c>
      <c r="W22" s="775">
        <f>J22</f>
        <v>100</v>
      </c>
      <c r="X22" s="1812"/>
      <c r="Y22" s="3258"/>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58"/>
      <c r="Q23" s="1809">
        <f>B23</f>
        <v>111</v>
      </c>
      <c r="R23" s="774" t="s">
        <v>17</v>
      </c>
      <c r="S23" s="775">
        <f>F23</f>
        <v>100</v>
      </c>
      <c r="T23" s="774" t="s">
        <v>17</v>
      </c>
      <c r="U23" s="775">
        <f>H23</f>
        <v>100</v>
      </c>
      <c r="V23" s="774" t="s">
        <v>17</v>
      </c>
      <c r="W23" s="775">
        <f>J23</f>
        <v>100</v>
      </c>
      <c r="X23" s="1812"/>
      <c r="Y23" s="3258"/>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58"/>
      <c r="Q24" s="1809">
        <f t="shared" ref="Q24:Q36" si="11">B24</f>
        <v>111</v>
      </c>
      <c r="R24" s="774" t="s">
        <v>17</v>
      </c>
      <c r="S24" s="775">
        <f>F24</f>
        <v>100</v>
      </c>
      <c r="T24" s="774" t="s">
        <v>17</v>
      </c>
      <c r="U24" s="775">
        <f>H24</f>
        <v>100</v>
      </c>
      <c r="V24" s="774" t="s">
        <v>17</v>
      </c>
      <c r="W24" s="775">
        <f>J24</f>
        <v>100</v>
      </c>
      <c r="X24" s="1812"/>
      <c r="Y24" s="3258"/>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58"/>
      <c r="Q25" s="1794">
        <f t="shared" si="11"/>
        <v>111</v>
      </c>
      <c r="R25" s="770" t="s">
        <v>17</v>
      </c>
      <c r="S25" s="771">
        <f>F25</f>
        <v>100</v>
      </c>
      <c r="T25" s="770" t="s">
        <v>17</v>
      </c>
      <c r="U25" s="771">
        <f>H25</f>
        <v>100</v>
      </c>
      <c r="V25" s="770" t="s">
        <v>17</v>
      </c>
      <c r="W25" s="771">
        <f>J25</f>
        <v>100</v>
      </c>
      <c r="X25" s="772"/>
      <c r="Y25" s="3258"/>
      <c r="Z25" s="55">
        <f>Q25</f>
        <v>111</v>
      </c>
      <c r="AA25" s="1810">
        <f>D25/F25</f>
        <v>1</v>
      </c>
      <c r="AB25" s="1810">
        <f>D25/H25</f>
        <v>1</v>
      </c>
      <c r="AC25" s="1810">
        <f>D25/J25</f>
        <v>1</v>
      </c>
    </row>
    <row r="26" spans="1:29" ht="28.5">
      <c r="A26" s="652" t="s">
        <v>2560</v>
      </c>
      <c r="B26" s="70" t="s">
        <v>2709</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81" t="s">
        <v>2562</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62" t="s">
        <v>2562</v>
      </c>
      <c r="Z26" s="1813" t="str">
        <f t="shared" ref="Z26:Z36" si="15">Q26</f>
        <v>配套类型</v>
      </c>
      <c r="AA26" s="1810">
        <f t="shared" si="3"/>
        <v>1</v>
      </c>
      <c r="AB26" s="1810">
        <f t="shared" si="4"/>
        <v>1</v>
      </c>
      <c r="AC26" s="1810">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62"/>
      <c r="Q27" s="776" t="str">
        <f t="shared" si="11"/>
        <v>项目停车位配比</v>
      </c>
      <c r="R27" s="777" t="s">
        <v>17</v>
      </c>
      <c r="S27" s="778">
        <f t="shared" si="12"/>
        <v>100</v>
      </c>
      <c r="T27" s="777" t="s">
        <v>17</v>
      </c>
      <c r="U27" s="778">
        <f t="shared" si="13"/>
        <v>100</v>
      </c>
      <c r="V27" s="777" t="s">
        <v>17</v>
      </c>
      <c r="W27" s="778">
        <f t="shared" si="14"/>
        <v>100</v>
      </c>
      <c r="X27" s="779"/>
      <c r="Y27" s="3262"/>
      <c r="Z27" s="780" t="str">
        <f t="shared" si="15"/>
        <v>项目停车位配比</v>
      </c>
      <c r="AA27" s="1810">
        <f t="shared" si="3"/>
        <v>1</v>
      </c>
      <c r="AB27" s="1810">
        <f t="shared" si="4"/>
        <v>1</v>
      </c>
      <c r="AC27" s="1810">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62"/>
      <c r="Q28" s="1809" t="str">
        <f t="shared" si="11"/>
        <v>公共部分装修</v>
      </c>
      <c r="R28" s="774" t="s">
        <v>17</v>
      </c>
      <c r="S28" s="775">
        <f t="shared" si="12"/>
        <v>100</v>
      </c>
      <c r="T28" s="774" t="s">
        <v>17</v>
      </c>
      <c r="U28" s="775">
        <f t="shared" si="13"/>
        <v>100</v>
      </c>
      <c r="V28" s="774" t="s">
        <v>17</v>
      </c>
      <c r="W28" s="775">
        <f t="shared" si="14"/>
        <v>100</v>
      </c>
      <c r="X28" s="1812"/>
      <c r="Y28" s="3262"/>
      <c r="Z28" s="1813" t="str">
        <f t="shared" si="15"/>
        <v>公共部分装修</v>
      </c>
      <c r="AA28" s="1810">
        <f t="shared" si="3"/>
        <v>1</v>
      </c>
      <c r="AB28" s="1810">
        <f t="shared" si="4"/>
        <v>1</v>
      </c>
      <c r="AC28" s="1810">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62"/>
      <c r="Q29" s="1809" t="str">
        <f t="shared" si="11"/>
        <v>成新率</v>
      </c>
      <c r="R29" s="774" t="s">
        <v>17</v>
      </c>
      <c r="S29" s="775" t="e">
        <f t="shared" si="12"/>
        <v>#N/A</v>
      </c>
      <c r="T29" s="774" t="s">
        <v>17</v>
      </c>
      <c r="U29" s="775" t="e">
        <f t="shared" si="13"/>
        <v>#N/A</v>
      </c>
      <c r="V29" s="774" t="s">
        <v>17</v>
      </c>
      <c r="W29" s="775" t="e">
        <f t="shared" si="14"/>
        <v>#N/A</v>
      </c>
      <c r="X29" s="1812"/>
      <c r="Y29" s="3262"/>
      <c r="Z29" s="1813" t="str">
        <f t="shared" si="15"/>
        <v>成新率</v>
      </c>
      <c r="AA29" s="1810" t="e">
        <f t="shared" si="3"/>
        <v>#N/A</v>
      </c>
      <c r="AB29" s="1810" t="e">
        <f t="shared" si="4"/>
        <v>#N/A</v>
      </c>
      <c r="AC29" s="1810"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62"/>
      <c r="Q30" s="1809" t="str">
        <f t="shared" si="11"/>
        <v>物业等级</v>
      </c>
      <c r="R30" s="774" t="s">
        <v>17</v>
      </c>
      <c r="S30" s="775">
        <f t="shared" si="12"/>
        <v>100</v>
      </c>
      <c r="T30" s="774" t="s">
        <v>17</v>
      </c>
      <c r="U30" s="775">
        <f t="shared" si="13"/>
        <v>100</v>
      </c>
      <c r="V30" s="774" t="s">
        <v>17</v>
      </c>
      <c r="W30" s="775">
        <f t="shared" si="14"/>
        <v>100</v>
      </c>
      <c r="X30" s="1812"/>
      <c r="Y30" s="3262"/>
      <c r="Z30" s="1813" t="str">
        <f t="shared" si="15"/>
        <v>物业等级</v>
      </c>
      <c r="AA30" s="1810">
        <f t="shared" si="3"/>
        <v>1</v>
      </c>
      <c r="AB30" s="1810">
        <f t="shared" si="4"/>
        <v>1</v>
      </c>
      <c r="AC30" s="1810">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62"/>
      <c r="Q31" s="1794" t="str">
        <f t="shared" si="11"/>
        <v>停车位面积</v>
      </c>
      <c r="R31" s="770" t="s">
        <v>17</v>
      </c>
      <c r="S31" s="771" t="e">
        <f t="shared" si="12"/>
        <v>#N/A</v>
      </c>
      <c r="T31" s="770" t="s">
        <v>17</v>
      </c>
      <c r="U31" s="771" t="e">
        <f t="shared" si="13"/>
        <v>#N/A</v>
      </c>
      <c r="V31" s="770" t="s">
        <v>17</v>
      </c>
      <c r="W31" s="771" t="e">
        <f t="shared" si="14"/>
        <v>#N/A</v>
      </c>
      <c r="X31" s="772"/>
      <c r="Y31" s="3262"/>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62" t="s">
        <v>2562</v>
      </c>
      <c r="Q32" s="1809" t="str">
        <f t="shared" si="11"/>
        <v>车位类型</v>
      </c>
      <c r="R32" s="774" t="s">
        <v>17</v>
      </c>
      <c r="S32" s="775">
        <f t="shared" si="12"/>
        <v>100</v>
      </c>
      <c r="T32" s="774" t="s">
        <v>17</v>
      </c>
      <c r="U32" s="775">
        <f t="shared" si="13"/>
        <v>100</v>
      </c>
      <c r="V32" s="774" t="s">
        <v>17</v>
      </c>
      <c r="W32" s="775">
        <f t="shared" si="14"/>
        <v>100</v>
      </c>
      <c r="X32" s="1812"/>
      <c r="Y32" s="3262" t="s">
        <v>2562</v>
      </c>
      <c r="Z32" s="1813" t="str">
        <f t="shared" si="15"/>
        <v>车位类型</v>
      </c>
      <c r="AA32" s="1810">
        <f t="shared" si="3"/>
        <v>1</v>
      </c>
      <c r="AB32" s="1810">
        <f t="shared" si="4"/>
        <v>1</v>
      </c>
      <c r="AC32" s="1810">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62"/>
      <c r="Q33" s="1809" t="str">
        <f t="shared" si="11"/>
        <v>是否直接入户</v>
      </c>
      <c r="R33" s="774" t="s">
        <v>17</v>
      </c>
      <c r="S33" s="775">
        <f t="shared" si="12"/>
        <v>100</v>
      </c>
      <c r="T33" s="774" t="s">
        <v>17</v>
      </c>
      <c r="U33" s="775">
        <f t="shared" si="13"/>
        <v>100</v>
      </c>
      <c r="V33" s="774" t="s">
        <v>17</v>
      </c>
      <c r="W33" s="775">
        <f t="shared" si="14"/>
        <v>100</v>
      </c>
      <c r="X33" s="1812"/>
      <c r="Y33" s="3262"/>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62"/>
      <c r="Q34" s="1809">
        <f t="shared" si="11"/>
        <v>111</v>
      </c>
      <c r="R34" s="774" t="s">
        <v>17</v>
      </c>
      <c r="S34" s="775">
        <f t="shared" si="12"/>
        <v>100</v>
      </c>
      <c r="T34" s="774" t="s">
        <v>17</v>
      </c>
      <c r="U34" s="775">
        <f t="shared" si="13"/>
        <v>100</v>
      </c>
      <c r="V34" s="774" t="s">
        <v>17</v>
      </c>
      <c r="W34" s="775">
        <f t="shared" si="14"/>
        <v>100</v>
      </c>
      <c r="X34" s="1812"/>
      <c r="Y34" s="3262"/>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62"/>
      <c r="Q35" s="776">
        <f t="shared" si="11"/>
        <v>111</v>
      </c>
      <c r="R35" s="777" t="s">
        <v>17</v>
      </c>
      <c r="S35" s="778">
        <f t="shared" si="12"/>
        <v>100</v>
      </c>
      <c r="T35" s="777" t="s">
        <v>17</v>
      </c>
      <c r="U35" s="778">
        <f t="shared" si="13"/>
        <v>100</v>
      </c>
      <c r="V35" s="777" t="s">
        <v>17</v>
      </c>
      <c r="W35" s="778">
        <f t="shared" si="14"/>
        <v>100</v>
      </c>
      <c r="X35" s="779"/>
      <c r="Y35" s="3262"/>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62"/>
      <c r="Q36" s="1809">
        <f t="shared" si="11"/>
        <v>111</v>
      </c>
      <c r="R36" s="774" t="s">
        <v>17</v>
      </c>
      <c r="S36" s="775">
        <f t="shared" si="12"/>
        <v>100</v>
      </c>
      <c r="T36" s="774" t="s">
        <v>17</v>
      </c>
      <c r="U36" s="775">
        <f t="shared" si="13"/>
        <v>100</v>
      </c>
      <c r="V36" s="774" t="s">
        <v>17</v>
      </c>
      <c r="W36" s="775">
        <f t="shared" si="14"/>
        <v>100</v>
      </c>
      <c r="X36" s="1812"/>
      <c r="Y36" s="3262"/>
      <c r="Z36" s="1813">
        <f t="shared" si="15"/>
        <v>111</v>
      </c>
      <c r="AA36" s="1810">
        <f t="shared" si="3"/>
        <v>1</v>
      </c>
      <c r="AB36" s="1810">
        <f t="shared" si="4"/>
        <v>1</v>
      </c>
      <c r="AC36" s="1810">
        <f t="shared" si="5"/>
        <v>1</v>
      </c>
    </row>
    <row r="37" spans="1:29" ht="15">
      <c r="A37" s="479" t="s">
        <v>2717</v>
      </c>
      <c r="B37" s="2692" t="s">
        <v>2718</v>
      </c>
      <c r="C37" s="1407" t="s">
        <v>1</v>
      </c>
      <c r="D37" s="1408"/>
      <c r="E37" s="1409"/>
      <c r="F37" s="1410"/>
      <c r="G37" s="1411"/>
      <c r="H37" s="1412"/>
      <c r="I37" s="1409"/>
      <c r="J37" s="1412"/>
      <c r="K37" s="619"/>
      <c r="L37" s="1143"/>
      <c r="M37" s="1144"/>
      <c r="N37" s="1131"/>
      <c r="O37" s="1144"/>
      <c r="P37" s="3255" t="str">
        <f>A37</f>
        <v>成交单价</v>
      </c>
      <c r="Q37" s="3255"/>
      <c r="R37" s="3256">
        <f>E37</f>
        <v>0</v>
      </c>
      <c r="S37" s="3256"/>
      <c r="T37" s="3256">
        <f>G37</f>
        <v>0</v>
      </c>
      <c r="U37" s="3256"/>
      <c r="V37" s="3256">
        <f>I37</f>
        <v>0</v>
      </c>
      <c r="W37" s="3256"/>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55" t="str">
        <f>A38</f>
        <v>比较价值（元/平方米）</v>
      </c>
      <c r="Q38" s="3255"/>
      <c r="R38" s="3256" t="e">
        <f>IF(F1="售价",ROUND(PRODUCT(R37,AA7:AA36),0),ROUND(PRODUCT(R37,AA7:AA36),1))</f>
        <v>#DIV/0!</v>
      </c>
      <c r="S38" s="3256"/>
      <c r="T38" s="3256" t="e">
        <f>IF(F1="售价",ROUND(PRODUCT(T37,AB7:AB36),0),ROUND(PRODUCT(T37,AB7:AB36),1))</f>
        <v>#DIV/0!</v>
      </c>
      <c r="U38" s="3256"/>
      <c r="V38" s="3256" t="e">
        <f>IF(F1="售价",ROUND(PRODUCT(V37,AC7:AC36),0),ROUND(PRODUCT(V37,AC7:AC36),1))</f>
        <v>#DIV/0!</v>
      </c>
      <c r="W38" s="3256"/>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252" t="str">
        <f>A39</f>
        <v>估价对象XX用房的比较价值（楼面单价，元/平方米）</v>
      </c>
      <c r="Q39" s="3253"/>
      <c r="R39" s="3254" t="e">
        <f>IF(F1="售价",ROUND(AVERAGE(R38:V38),0),ROUND(AVERAGE(R38:V38),1))</f>
        <v>#DIV/0!</v>
      </c>
      <c r="S39" s="3254"/>
      <c r="T39" s="3254"/>
      <c r="U39" s="3254"/>
      <c r="V39" s="3254"/>
      <c r="W39" s="325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2020-3</v>
      </c>
      <c r="D48" s="1575">
        <f>EDATE(C48,-1)</f>
        <v>43862</v>
      </c>
      <c r="E48" s="1575">
        <f t="shared" ref="E48:O48" si="16">EDATE(D48,-1)</f>
        <v>43831</v>
      </c>
      <c r="F48" s="1575">
        <f t="shared" si="16"/>
        <v>43800</v>
      </c>
      <c r="G48" s="1575">
        <f t="shared" si="16"/>
        <v>43770</v>
      </c>
      <c r="H48" s="1575">
        <f t="shared" si="16"/>
        <v>43739</v>
      </c>
      <c r="I48" s="1575">
        <f t="shared" si="16"/>
        <v>43709</v>
      </c>
      <c r="J48" s="1575">
        <f t="shared" si="16"/>
        <v>43678</v>
      </c>
      <c r="K48" s="1575">
        <f t="shared" si="16"/>
        <v>43647</v>
      </c>
      <c r="L48" s="1575">
        <f t="shared" si="16"/>
        <v>43617</v>
      </c>
      <c r="M48" s="1575">
        <f t="shared" si="16"/>
        <v>43586</v>
      </c>
      <c r="N48" s="1575">
        <f t="shared" si="16"/>
        <v>43556</v>
      </c>
      <c r="O48" s="1575">
        <f t="shared" si="16"/>
        <v>43525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30"/>
      <c r="F1" s="2581"/>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3"/>
      <c r="D2" s="1124" t="e">
        <f ca="1">SUMIF(INDIRECT("'"&amp;F2&amp;"'"&amp;"!A:A"),"承租人权益价值",INDIRECT("'"&amp;F2&amp;"'"&amp;"!c:c"))</f>
        <v>#REF!</v>
      </c>
      <c r="E2" s="2584" t="s">
        <v>2325</v>
      </c>
      <c r="F2" s="258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38" t="s">
        <v>2643</v>
      </c>
      <c r="D4" s="3239"/>
      <c r="E4" s="3240" t="s">
        <v>2644</v>
      </c>
      <c r="F4" s="3241"/>
      <c r="G4" s="3238" t="s">
        <v>2645</v>
      </c>
      <c r="H4" s="3239"/>
      <c r="I4" s="3238" t="s">
        <v>2646</v>
      </c>
      <c r="J4" s="3239"/>
      <c r="K4" s="610" t="s">
        <v>2647</v>
      </c>
      <c r="L4" s="1130"/>
      <c r="M4" s="1131"/>
      <c r="N4" s="1131"/>
      <c r="O4" s="1131"/>
      <c r="P4" s="3242" t="s">
        <v>2648</v>
      </c>
      <c r="Q4" s="3243"/>
      <c r="R4" s="3225" t="s">
        <v>2644</v>
      </c>
      <c r="S4" s="3226"/>
      <c r="T4" s="3225" t="s">
        <v>2645</v>
      </c>
      <c r="U4" s="3226"/>
      <c r="V4" s="3250" t="s">
        <v>2646</v>
      </c>
      <c r="W4" s="3250"/>
      <c r="X4" s="1812"/>
      <c r="Y4" s="3225" t="s">
        <v>2648</v>
      </c>
      <c r="Z4" s="3226"/>
      <c r="AA4" s="3220" t="s">
        <v>2644</v>
      </c>
      <c r="AB4" s="3221" t="s">
        <v>2645</v>
      </c>
      <c r="AC4" s="3220" t="s">
        <v>2646</v>
      </c>
    </row>
    <row r="5" spans="1:29" ht="15">
      <c r="A5" s="404"/>
      <c r="B5" s="405"/>
      <c r="C5" s="3231" t="s">
        <v>2539</v>
      </c>
      <c r="D5" s="3232"/>
      <c r="E5" s="3229" t="s">
        <v>2540</v>
      </c>
      <c r="F5" s="3230"/>
      <c r="G5" s="3231" t="s">
        <v>2541</v>
      </c>
      <c r="H5" s="3232"/>
      <c r="I5" s="3231" t="s">
        <v>2542</v>
      </c>
      <c r="J5" s="3232"/>
      <c r="K5" s="610"/>
      <c r="L5" s="1130"/>
      <c r="M5" s="1131"/>
      <c r="N5" s="1131"/>
      <c r="O5" s="1131"/>
      <c r="P5" s="3244"/>
      <c r="Q5" s="3245"/>
      <c r="R5" s="3227"/>
      <c r="S5" s="3228"/>
      <c r="T5" s="3227"/>
      <c r="U5" s="3228"/>
      <c r="V5" s="3250"/>
      <c r="W5" s="3250"/>
      <c r="X5" s="1812"/>
      <c r="Y5" s="3227"/>
      <c r="Z5" s="3228"/>
      <c r="AA5" s="3221"/>
      <c r="AB5" s="3221"/>
      <c r="AC5" s="3221"/>
    </row>
    <row r="6" spans="1:29" ht="15.75" thickBot="1">
      <c r="A6" s="406"/>
      <c r="B6" s="407"/>
      <c r="C6" s="3233" t="s">
        <v>2543</v>
      </c>
      <c r="D6" s="3234"/>
      <c r="E6" s="3235" t="s">
        <v>2543</v>
      </c>
      <c r="F6" s="3236"/>
      <c r="G6" s="3233" t="s">
        <v>2543</v>
      </c>
      <c r="H6" s="3234"/>
      <c r="I6" s="3233" t="s">
        <v>2543</v>
      </c>
      <c r="J6" s="3234"/>
      <c r="K6" s="610" t="s">
        <v>2544</v>
      </c>
      <c r="L6" s="1130"/>
      <c r="M6" s="1131"/>
      <c r="N6" s="1131"/>
      <c r="O6" s="1131"/>
      <c r="P6" s="3246"/>
      <c r="Q6" s="3247"/>
      <c r="R6" s="3227"/>
      <c r="S6" s="3228"/>
      <c r="T6" s="3248"/>
      <c r="U6" s="3249"/>
      <c r="V6" s="3250"/>
      <c r="W6" s="3250"/>
      <c r="X6" s="1812"/>
      <c r="Y6" s="3248"/>
      <c r="Z6" s="3249"/>
      <c r="AA6" s="3222"/>
      <c r="AB6" s="3222"/>
      <c r="AC6" s="3222"/>
    </row>
    <row r="7" spans="1:29" s="117" customFormat="1" ht="15.75" thickBot="1">
      <c r="A7" s="408" t="s">
        <v>2545</v>
      </c>
      <c r="B7" s="409"/>
      <c r="C7" s="410">
        <f>'数据-取费表'!B2</f>
        <v>43902</v>
      </c>
      <c r="D7" s="411">
        <v>100</v>
      </c>
      <c r="E7" s="412"/>
      <c r="F7" s="413">
        <f>SUMIF(46:46,YEAR(E7)&amp;"-"&amp;MONTH(E7),47:47)</f>
        <v>0</v>
      </c>
      <c r="G7" s="2693"/>
      <c r="H7" s="411">
        <f>SUMIF(46:46,YEAR(G7)&amp;"-"&amp;MONTH(G7),47:47)</f>
        <v>0</v>
      </c>
      <c r="I7" s="412"/>
      <c r="J7" s="411">
        <f>SUMIF(46:46,YEAR(I7)&amp;"-"&amp;MONTH(I7),47:47)</f>
        <v>0</v>
      </c>
      <c r="K7" s="611"/>
      <c r="L7" s="1132"/>
      <c r="M7" s="1133"/>
      <c r="N7" s="1133"/>
      <c r="O7" s="1133"/>
      <c r="P7" s="3223" t="s">
        <v>2546</v>
      </c>
      <c r="Q7" s="3251"/>
      <c r="R7" s="770" t="s">
        <v>17</v>
      </c>
      <c r="S7" s="771">
        <f t="shared" ref="S7:S14" si="0">F7</f>
        <v>0</v>
      </c>
      <c r="T7" s="770" t="s">
        <v>17</v>
      </c>
      <c r="U7" s="771">
        <f t="shared" ref="U7:U14" si="1">H7</f>
        <v>0</v>
      </c>
      <c r="V7" s="770" t="s">
        <v>17</v>
      </c>
      <c r="W7" s="771">
        <f t="shared" ref="W7:W14" si="2">J7</f>
        <v>0</v>
      </c>
      <c r="X7" s="772"/>
      <c r="Y7" s="3223" t="s">
        <v>2546</v>
      </c>
      <c r="Z7" s="3224"/>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3" t="s">
        <v>2549</v>
      </c>
      <c r="Q8" s="3224"/>
      <c r="R8" s="770" t="s">
        <v>17</v>
      </c>
      <c r="S8" s="771">
        <f t="shared" si="0"/>
        <v>0</v>
      </c>
      <c r="T8" s="770" t="s">
        <v>17</v>
      </c>
      <c r="U8" s="771">
        <f t="shared" si="1"/>
        <v>0</v>
      </c>
      <c r="V8" s="770" t="s">
        <v>17</v>
      </c>
      <c r="W8" s="771">
        <f t="shared" si="2"/>
        <v>0</v>
      </c>
      <c r="X8" s="772"/>
      <c r="Y8" s="3223" t="s">
        <v>2549</v>
      </c>
      <c r="Z8" s="3224"/>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55" t="s">
        <v>2552</v>
      </c>
      <c r="Q9" s="1794" t="str">
        <f t="shared" ref="Q9:Q14" si="6">B9</f>
        <v>用途</v>
      </c>
      <c r="R9" s="770" t="s">
        <v>17</v>
      </c>
      <c r="S9" s="771">
        <f t="shared" si="0"/>
        <v>100</v>
      </c>
      <c r="T9" s="770" t="s">
        <v>17</v>
      </c>
      <c r="U9" s="771">
        <f t="shared" si="1"/>
        <v>100</v>
      </c>
      <c r="V9" s="770" t="s">
        <v>17</v>
      </c>
      <c r="W9" s="771">
        <f t="shared" si="2"/>
        <v>100</v>
      </c>
      <c r="X9" s="772"/>
      <c r="Y9" s="3047"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55"/>
      <c r="Q10" s="1794"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55"/>
      <c r="Q11" s="1794">
        <f t="shared" si="6"/>
        <v>111</v>
      </c>
      <c r="R11" s="770" t="s">
        <v>17</v>
      </c>
      <c r="S11" s="771">
        <f t="shared" si="0"/>
        <v>100</v>
      </c>
      <c r="T11" s="770" t="s">
        <v>17</v>
      </c>
      <c r="U11" s="771">
        <f t="shared" si="1"/>
        <v>100</v>
      </c>
      <c r="V11" s="770" t="s">
        <v>17</v>
      </c>
      <c r="W11" s="771">
        <f t="shared" si="2"/>
        <v>100</v>
      </c>
      <c r="X11" s="772"/>
      <c r="Y11" s="3047"/>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55"/>
      <c r="Q12" s="1794">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0"/>
      <c r="M13" s="1131"/>
      <c r="N13" s="1131"/>
      <c r="O13" s="1139"/>
      <c r="P13" s="3255"/>
      <c r="Q13" s="1794">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85.5">
      <c r="A14" s="440" t="s">
        <v>2556</v>
      </c>
      <c r="B14" s="69" t="s">
        <v>2706</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57" t="s">
        <v>2557</v>
      </c>
      <c r="Q14" s="1809" t="str">
        <f t="shared" si="6"/>
        <v>交通便捷度</v>
      </c>
      <c r="R14" s="774" t="s">
        <v>17</v>
      </c>
      <c r="S14" s="775">
        <f t="shared" si="0"/>
        <v>100</v>
      </c>
      <c r="T14" s="774" t="s">
        <v>17</v>
      </c>
      <c r="U14" s="775">
        <f t="shared" si="1"/>
        <v>100</v>
      </c>
      <c r="V14" s="774" t="s">
        <v>17</v>
      </c>
      <c r="W14" s="775">
        <f t="shared" si="2"/>
        <v>100</v>
      </c>
      <c r="X14" s="1812"/>
      <c r="Y14" s="3257" t="s">
        <v>2557</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58"/>
      <c r="Q15" s="1809"/>
      <c r="R15" s="774"/>
      <c r="S15" s="775"/>
      <c r="T15" s="774"/>
      <c r="U15" s="775"/>
      <c r="V15" s="774"/>
      <c r="W15" s="775"/>
      <c r="X15" s="1812"/>
      <c r="Y15" s="3258"/>
      <c r="Z15" s="1813"/>
      <c r="AA15" s="1810">
        <v>1</v>
      </c>
      <c r="AB15" s="1810">
        <v>1</v>
      </c>
      <c r="AC15" s="1810">
        <v>1</v>
      </c>
    </row>
    <row r="16" spans="1:29" ht="42.75">
      <c r="A16" s="428"/>
      <c r="B16" s="451" t="s">
        <v>2685</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58"/>
      <c r="Q16" s="1809" t="str">
        <f>B16</f>
        <v>公共配套设施</v>
      </c>
      <c r="R16" s="774" t="s">
        <v>17</v>
      </c>
      <c r="S16" s="775">
        <f>F16</f>
        <v>100</v>
      </c>
      <c r="T16" s="774" t="s">
        <v>17</v>
      </c>
      <c r="U16" s="775">
        <f>H16</f>
        <v>100</v>
      </c>
      <c r="V16" s="774" t="s">
        <v>17</v>
      </c>
      <c r="W16" s="775">
        <f>J16</f>
        <v>100</v>
      </c>
      <c r="X16" s="1812"/>
      <c r="Y16" s="3258"/>
      <c r="Z16" s="1813" t="str">
        <f>Q16</f>
        <v>公共配套设施</v>
      </c>
      <c r="AA16" s="1810">
        <f t="shared" si="3"/>
        <v>1</v>
      </c>
      <c r="AB16" s="1810">
        <f t="shared" si="4"/>
        <v>1</v>
      </c>
      <c r="AC16" s="1810">
        <f t="shared" si="5"/>
        <v>1</v>
      </c>
    </row>
    <row r="17" spans="1:29" ht="15">
      <c r="A17" s="428"/>
      <c r="B17" s="456"/>
      <c r="C17" s="2605"/>
      <c r="D17" s="448"/>
      <c r="E17" s="447"/>
      <c r="F17" s="449"/>
      <c r="G17" s="447"/>
      <c r="H17" s="448"/>
      <c r="I17" s="447"/>
      <c r="J17" s="448"/>
      <c r="K17" s="615"/>
      <c r="L17" s="1140"/>
      <c r="M17" s="1131"/>
      <c r="N17" s="1131"/>
      <c r="O17" s="1139"/>
      <c r="P17" s="3258"/>
      <c r="Q17" s="1809"/>
      <c r="R17" s="774"/>
      <c r="S17" s="775"/>
      <c r="T17" s="774"/>
      <c r="U17" s="775"/>
      <c r="V17" s="774"/>
      <c r="W17" s="775"/>
      <c r="X17" s="1812"/>
      <c r="Y17" s="3258"/>
      <c r="Z17" s="1813"/>
      <c r="AA17" s="1810">
        <v>1</v>
      </c>
      <c r="AB17" s="1810">
        <v>1</v>
      </c>
      <c r="AC17" s="1810">
        <v>1</v>
      </c>
    </row>
    <row r="18" spans="1:29" ht="28.5">
      <c r="A18" s="428"/>
      <c r="B18" s="1384" t="s">
        <v>2686</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58"/>
      <c r="Q18" s="1809" t="str">
        <f>B18</f>
        <v>基础设施水平</v>
      </c>
      <c r="R18" s="774" t="s">
        <v>17</v>
      </c>
      <c r="S18" s="775">
        <f>F18</f>
        <v>100</v>
      </c>
      <c r="T18" s="774" t="s">
        <v>17</v>
      </c>
      <c r="U18" s="775">
        <f>H18</f>
        <v>100</v>
      </c>
      <c r="V18" s="774" t="s">
        <v>17</v>
      </c>
      <c r="W18" s="775">
        <f>J18</f>
        <v>100</v>
      </c>
      <c r="X18" s="1812"/>
      <c r="Y18" s="3258"/>
      <c r="Z18" s="1813" t="str">
        <f>Q18</f>
        <v>基础设施水平</v>
      </c>
      <c r="AA18" s="1810">
        <f t="shared" ref="AA18" si="8">D18/F18</f>
        <v>1</v>
      </c>
      <c r="AB18" s="1810">
        <f t="shared" ref="AB18" si="9">D18/H18</f>
        <v>1</v>
      </c>
      <c r="AC18" s="1810">
        <f t="shared" ref="AC18" si="10">D18/J18</f>
        <v>1</v>
      </c>
    </row>
    <row r="19" spans="1:29" ht="15">
      <c r="A19" s="428"/>
      <c r="B19" s="1384"/>
      <c r="C19" s="2605"/>
      <c r="D19" s="450"/>
      <c r="E19" s="2605"/>
      <c r="F19" s="453"/>
      <c r="G19" s="2605"/>
      <c r="H19" s="448"/>
      <c r="I19" s="447"/>
      <c r="J19" s="448"/>
      <c r="K19" s="1383"/>
      <c r="L19" s="1140"/>
      <c r="M19" s="1131"/>
      <c r="N19" s="1131"/>
      <c r="O19" s="1139"/>
      <c r="P19" s="3258"/>
      <c r="Q19" s="1809"/>
      <c r="R19" s="774"/>
      <c r="S19" s="775"/>
      <c r="T19" s="774"/>
      <c r="U19" s="775"/>
      <c r="V19" s="774"/>
      <c r="W19" s="775"/>
      <c r="X19" s="1812"/>
      <c r="Y19" s="3258"/>
      <c r="Z19" s="1813"/>
      <c r="AA19" s="1810">
        <v>1</v>
      </c>
      <c r="AB19" s="1810">
        <v>1</v>
      </c>
      <c r="AC19" s="1810">
        <v>1</v>
      </c>
    </row>
    <row r="20" spans="1:29" ht="57">
      <c r="A20" s="428"/>
      <c r="B20" s="451" t="s">
        <v>2707</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58"/>
      <c r="Q20" s="1809" t="str">
        <f>B20</f>
        <v>自然及人文环境</v>
      </c>
      <c r="R20" s="774" t="s">
        <v>17</v>
      </c>
      <c r="S20" s="775">
        <f>F20</f>
        <v>100</v>
      </c>
      <c r="T20" s="774" t="s">
        <v>17</v>
      </c>
      <c r="U20" s="775">
        <f>H20</f>
        <v>100</v>
      </c>
      <c r="V20" s="774" t="s">
        <v>17</v>
      </c>
      <c r="W20" s="775">
        <f>J20</f>
        <v>100</v>
      </c>
      <c r="X20" s="1812"/>
      <c r="Y20" s="3258"/>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58"/>
      <c r="Q21" s="1809"/>
      <c r="R21" s="774"/>
      <c r="S21" s="775"/>
      <c r="T21" s="774"/>
      <c r="U21" s="775"/>
      <c r="V21" s="774"/>
      <c r="W21" s="775"/>
      <c r="X21" s="1812"/>
      <c r="Y21" s="3258"/>
      <c r="Z21" s="1813"/>
      <c r="AA21" s="1810">
        <v>1</v>
      </c>
      <c r="AB21" s="1810">
        <v>1</v>
      </c>
      <c r="AC21" s="1810">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58"/>
      <c r="Q22" s="1809" t="str">
        <f>B22</f>
        <v>楼层</v>
      </c>
      <c r="R22" s="774" t="s">
        <v>17</v>
      </c>
      <c r="S22" s="775">
        <f>F22</f>
        <v>100</v>
      </c>
      <c r="T22" s="774" t="s">
        <v>17</v>
      </c>
      <c r="U22" s="775">
        <f>H22</f>
        <v>100</v>
      </c>
      <c r="V22" s="774" t="s">
        <v>17</v>
      </c>
      <c r="W22" s="775">
        <f>J22</f>
        <v>100</v>
      </c>
      <c r="X22" s="1812"/>
      <c r="Y22" s="3258"/>
      <c r="Z22" s="1813" t="str">
        <f>Q22</f>
        <v>楼层</v>
      </c>
      <c r="AA22" s="1810">
        <f t="shared" si="3"/>
        <v>1</v>
      </c>
      <c r="AB22" s="1810">
        <f t="shared" si="4"/>
        <v>1</v>
      </c>
      <c r="AC22" s="1810">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58"/>
      <c r="Q23" s="1809">
        <f>B23</f>
        <v>111</v>
      </c>
      <c r="R23" s="774" t="s">
        <v>17</v>
      </c>
      <c r="S23" s="775">
        <f>F23</f>
        <v>100</v>
      </c>
      <c r="T23" s="774" t="s">
        <v>17</v>
      </c>
      <c r="U23" s="775">
        <f>H23</f>
        <v>100</v>
      </c>
      <c r="V23" s="774" t="s">
        <v>17</v>
      </c>
      <c r="W23" s="775">
        <f>J23</f>
        <v>100</v>
      </c>
      <c r="X23" s="1812"/>
      <c r="Y23" s="3258"/>
      <c r="Z23" s="1813">
        <f>Q23</f>
        <v>111</v>
      </c>
      <c r="AA23" s="1810">
        <f t="shared" si="3"/>
        <v>1</v>
      </c>
      <c r="AB23" s="1810">
        <f t="shared" si="4"/>
        <v>1</v>
      </c>
      <c r="AC23" s="1810">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58"/>
      <c r="Q24" s="1809">
        <f t="shared" ref="Q24:Q34" si="11">B24</f>
        <v>111</v>
      </c>
      <c r="R24" s="774" t="s">
        <v>17</v>
      </c>
      <c r="S24" s="775">
        <f>F24</f>
        <v>100</v>
      </c>
      <c r="T24" s="774" t="s">
        <v>17</v>
      </c>
      <c r="U24" s="775">
        <f>H24</f>
        <v>100</v>
      </c>
      <c r="V24" s="774" t="s">
        <v>17</v>
      </c>
      <c r="W24" s="775">
        <f>J24</f>
        <v>100</v>
      </c>
      <c r="X24" s="1812"/>
      <c r="Y24" s="3258"/>
      <c r="Z24" s="1813">
        <f>Q24</f>
        <v>111</v>
      </c>
      <c r="AA24" s="1810">
        <f t="shared" si="3"/>
        <v>1</v>
      </c>
      <c r="AB24" s="1810">
        <f t="shared" si="4"/>
        <v>1</v>
      </c>
      <c r="AC24" s="1810">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2"/>
      <c r="M25" s="1133"/>
      <c r="N25" s="1133"/>
      <c r="O25" s="1134"/>
      <c r="P25" s="3258"/>
      <c r="Q25" s="1794">
        <f t="shared" si="11"/>
        <v>111</v>
      </c>
      <c r="R25" s="770" t="s">
        <v>17</v>
      </c>
      <c r="S25" s="771">
        <f>F25</f>
        <v>100</v>
      </c>
      <c r="T25" s="770" t="s">
        <v>17</v>
      </c>
      <c r="U25" s="771">
        <f>H25</f>
        <v>100</v>
      </c>
      <c r="V25" s="770" t="s">
        <v>17</v>
      </c>
      <c r="W25" s="771">
        <f>J25</f>
        <v>100</v>
      </c>
      <c r="X25" s="772"/>
      <c r="Y25" s="3258"/>
      <c r="Z25" s="55">
        <f>Q25</f>
        <v>111</v>
      </c>
      <c r="AA25" s="1810">
        <f>D25/F25</f>
        <v>1</v>
      </c>
      <c r="AB25" s="1810">
        <f>D25/H25</f>
        <v>1</v>
      </c>
      <c r="AC25" s="1810">
        <f>D25/J25</f>
        <v>1</v>
      </c>
    </row>
    <row r="26" spans="1:29" ht="28.5">
      <c r="A26" s="466" t="s">
        <v>2560</v>
      </c>
      <c r="B26" s="71" t="s">
        <v>2711</v>
      </c>
      <c r="C26" s="2676"/>
      <c r="D26" s="467">
        <v>100</v>
      </c>
      <c r="E26" s="2676"/>
      <c r="F26" s="667">
        <f>SUMIF(77:77,E26,78:78)-SUMIF(77:77,C26,78:78)+100</f>
        <v>100</v>
      </c>
      <c r="G26" s="2676"/>
      <c r="H26" s="467">
        <f>SUMIF(77:77,G26,78:78)-SUMIF(77:77,C26,78:78)+100</f>
        <v>100</v>
      </c>
      <c r="I26" s="2676"/>
      <c r="J26" s="467">
        <f>SUMIF(77:77,I26,78:78)-SUMIF(77:77,C26,78:78)+100</f>
        <v>100</v>
      </c>
      <c r="K26" s="612"/>
      <c r="L26" s="1140"/>
      <c r="M26" s="1131"/>
      <c r="N26" s="1131"/>
      <c r="O26" s="1139"/>
      <c r="P26" s="3281" t="s">
        <v>2562</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62" t="s">
        <v>2562</v>
      </c>
      <c r="Z26" s="1813" t="str">
        <f t="shared" ref="Z26:Z34" si="15">Q26</f>
        <v>公共部分装修</v>
      </c>
      <c r="AA26" s="1810">
        <f t="shared" si="3"/>
        <v>1</v>
      </c>
      <c r="AB26" s="1810">
        <f t="shared" si="4"/>
        <v>1</v>
      </c>
      <c r="AC26" s="1810">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62"/>
      <c r="Q27" s="776" t="str">
        <f t="shared" si="11"/>
        <v>成新率</v>
      </c>
      <c r="R27" s="777" t="s">
        <v>17</v>
      </c>
      <c r="S27" s="778" t="e">
        <f t="shared" si="12"/>
        <v>#N/A</v>
      </c>
      <c r="T27" s="777" t="s">
        <v>17</v>
      </c>
      <c r="U27" s="778" t="e">
        <f t="shared" si="13"/>
        <v>#N/A</v>
      </c>
      <c r="V27" s="777" t="s">
        <v>17</v>
      </c>
      <c r="W27" s="778" t="e">
        <f t="shared" si="14"/>
        <v>#N/A</v>
      </c>
      <c r="X27" s="779"/>
      <c r="Y27" s="3262"/>
      <c r="Z27" s="780" t="str">
        <f t="shared" si="15"/>
        <v>成新率</v>
      </c>
      <c r="AA27" s="1810" t="e">
        <f t="shared" si="3"/>
        <v>#N/A</v>
      </c>
      <c r="AB27" s="1810" t="e">
        <f t="shared" si="4"/>
        <v>#N/A</v>
      </c>
      <c r="AC27" s="1810"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62"/>
      <c r="Q28" s="1809" t="str">
        <f t="shared" si="11"/>
        <v>物业等级</v>
      </c>
      <c r="R28" s="774" t="s">
        <v>17</v>
      </c>
      <c r="S28" s="775">
        <f t="shared" si="12"/>
        <v>100</v>
      </c>
      <c r="T28" s="774" t="s">
        <v>17</v>
      </c>
      <c r="U28" s="775">
        <f t="shared" si="13"/>
        <v>100</v>
      </c>
      <c r="V28" s="774" t="s">
        <v>17</v>
      </c>
      <c r="W28" s="775">
        <f t="shared" si="14"/>
        <v>100</v>
      </c>
      <c r="X28" s="1812"/>
      <c r="Y28" s="3262"/>
      <c r="Z28" s="1813" t="str">
        <f t="shared" si="15"/>
        <v>物业等级</v>
      </c>
      <c r="AA28" s="1810">
        <f t="shared" si="3"/>
        <v>1</v>
      </c>
      <c r="AB28" s="1810">
        <f t="shared" si="4"/>
        <v>1</v>
      </c>
      <c r="AC28" s="1810">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62"/>
      <c r="Q29" s="1809" t="str">
        <f t="shared" si="11"/>
        <v>有无电梯</v>
      </c>
      <c r="R29" s="774" t="s">
        <v>17</v>
      </c>
      <c r="S29" s="775">
        <f t="shared" si="12"/>
        <v>100</v>
      </c>
      <c r="T29" s="774" t="s">
        <v>17</v>
      </c>
      <c r="U29" s="775">
        <f t="shared" si="13"/>
        <v>100</v>
      </c>
      <c r="V29" s="774" t="s">
        <v>17</v>
      </c>
      <c r="W29" s="775">
        <f t="shared" si="14"/>
        <v>100</v>
      </c>
      <c r="X29" s="1812"/>
      <c r="Y29" s="3262"/>
      <c r="Z29" s="1813" t="str">
        <f t="shared" si="15"/>
        <v>有无电梯</v>
      </c>
      <c r="AA29" s="1810">
        <f t="shared" si="3"/>
        <v>1</v>
      </c>
      <c r="AB29" s="1810">
        <f t="shared" si="4"/>
        <v>1</v>
      </c>
      <c r="AC29" s="1810">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62"/>
      <c r="Q30" s="1809" t="str">
        <f t="shared" si="11"/>
        <v>建筑面积</v>
      </c>
      <c r="R30" s="774" t="s">
        <v>17</v>
      </c>
      <c r="S30" s="775" t="e">
        <f t="shared" si="12"/>
        <v>#N/A</v>
      </c>
      <c r="T30" s="774" t="s">
        <v>17</v>
      </c>
      <c r="U30" s="775" t="e">
        <f t="shared" si="13"/>
        <v>#N/A</v>
      </c>
      <c r="V30" s="774" t="s">
        <v>17</v>
      </c>
      <c r="W30" s="775" t="e">
        <f t="shared" si="14"/>
        <v>#N/A</v>
      </c>
      <c r="X30" s="1812"/>
      <c r="Y30" s="3262"/>
      <c r="Z30" s="1813" t="str">
        <f t="shared" si="15"/>
        <v>建筑面积</v>
      </c>
      <c r="AA30" s="1810" t="e">
        <f t="shared" si="3"/>
        <v>#N/A</v>
      </c>
      <c r="AB30" s="1810" t="e">
        <f t="shared" si="4"/>
        <v>#N/A</v>
      </c>
      <c r="AC30" s="1810"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62"/>
      <c r="Q31" s="1794" t="str">
        <f t="shared" si="11"/>
        <v>是否封闭</v>
      </c>
      <c r="R31" s="770" t="s">
        <v>17</v>
      </c>
      <c r="S31" s="771">
        <f t="shared" si="12"/>
        <v>100</v>
      </c>
      <c r="T31" s="770" t="s">
        <v>17</v>
      </c>
      <c r="U31" s="771">
        <f t="shared" si="13"/>
        <v>100</v>
      </c>
      <c r="V31" s="770" t="s">
        <v>17</v>
      </c>
      <c r="W31" s="771">
        <f t="shared" si="14"/>
        <v>100</v>
      </c>
      <c r="X31" s="772"/>
      <c r="Y31" s="3262"/>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62" t="s">
        <v>2562</v>
      </c>
      <c r="Q32" s="1809">
        <f t="shared" si="11"/>
        <v>111</v>
      </c>
      <c r="R32" s="774" t="s">
        <v>17</v>
      </c>
      <c r="S32" s="775">
        <f t="shared" si="12"/>
        <v>100</v>
      </c>
      <c r="T32" s="774" t="s">
        <v>17</v>
      </c>
      <c r="U32" s="775">
        <f t="shared" si="13"/>
        <v>100</v>
      </c>
      <c r="V32" s="774" t="s">
        <v>17</v>
      </c>
      <c r="W32" s="775">
        <f t="shared" si="14"/>
        <v>100</v>
      </c>
      <c r="X32" s="1812"/>
      <c r="Y32" s="3262" t="s">
        <v>2562</v>
      </c>
      <c r="Z32" s="1813">
        <f t="shared" si="15"/>
        <v>111</v>
      </c>
      <c r="AA32" s="1810">
        <f t="shared" si="3"/>
        <v>1</v>
      </c>
      <c r="AB32" s="1810">
        <f t="shared" si="4"/>
        <v>1</v>
      </c>
      <c r="AC32" s="1810">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62"/>
      <c r="Q33" s="1809">
        <f t="shared" si="11"/>
        <v>111</v>
      </c>
      <c r="R33" s="774" t="s">
        <v>17</v>
      </c>
      <c r="S33" s="775">
        <f t="shared" si="12"/>
        <v>100</v>
      </c>
      <c r="T33" s="774" t="s">
        <v>17</v>
      </c>
      <c r="U33" s="775">
        <f t="shared" si="13"/>
        <v>100</v>
      </c>
      <c r="V33" s="774" t="s">
        <v>17</v>
      </c>
      <c r="W33" s="775">
        <f t="shared" si="14"/>
        <v>100</v>
      </c>
      <c r="X33" s="1812"/>
      <c r="Y33" s="3262"/>
      <c r="Z33" s="1813">
        <f t="shared" si="15"/>
        <v>111</v>
      </c>
      <c r="AA33" s="1810">
        <f t="shared" si="3"/>
        <v>1</v>
      </c>
      <c r="AB33" s="1810">
        <f t="shared" si="4"/>
        <v>1</v>
      </c>
      <c r="AC33" s="1810">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0"/>
      <c r="M34" s="1131"/>
      <c r="N34" s="1131"/>
      <c r="O34" s="1139"/>
      <c r="P34" s="3262"/>
      <c r="Q34" s="1809">
        <f t="shared" si="11"/>
        <v>111</v>
      </c>
      <c r="R34" s="774" t="s">
        <v>17</v>
      </c>
      <c r="S34" s="775">
        <f t="shared" si="12"/>
        <v>100</v>
      </c>
      <c r="T34" s="774" t="s">
        <v>17</v>
      </c>
      <c r="U34" s="775">
        <f t="shared" si="13"/>
        <v>100</v>
      </c>
      <c r="V34" s="774" t="s">
        <v>17</v>
      </c>
      <c r="W34" s="775">
        <f t="shared" si="14"/>
        <v>100</v>
      </c>
      <c r="X34" s="1812"/>
      <c r="Y34" s="3262"/>
      <c r="Z34" s="1813">
        <f t="shared" si="15"/>
        <v>111</v>
      </c>
      <c r="AA34" s="1810">
        <f t="shared" si="3"/>
        <v>1</v>
      </c>
      <c r="AB34" s="1810">
        <f t="shared" si="4"/>
        <v>1</v>
      </c>
      <c r="AC34" s="1810">
        <f t="shared" si="5"/>
        <v>1</v>
      </c>
    </row>
    <row r="35" spans="1:29" ht="15">
      <c r="A35" s="479" t="s">
        <v>2574</v>
      </c>
      <c r="B35" s="480"/>
      <c r="C35" s="1407" t="s">
        <v>1</v>
      </c>
      <c r="D35" s="1408"/>
      <c r="E35" s="1409"/>
      <c r="F35" s="1410"/>
      <c r="G35" s="1411"/>
      <c r="H35" s="1412"/>
      <c r="I35" s="1409"/>
      <c r="J35" s="1412"/>
      <c r="K35" s="783"/>
      <c r="L35" s="1143"/>
      <c r="M35" s="1144"/>
      <c r="N35" s="1131"/>
      <c r="O35" s="1144"/>
      <c r="P35" s="3255" t="str">
        <f>A35</f>
        <v>成交单价（元/平方米）</v>
      </c>
      <c r="Q35" s="3255"/>
      <c r="R35" s="3256">
        <f>E35</f>
        <v>0</v>
      </c>
      <c r="S35" s="3256"/>
      <c r="T35" s="3256">
        <f>G35</f>
        <v>0</v>
      </c>
      <c r="U35" s="3256"/>
      <c r="V35" s="3256">
        <f>I35</f>
        <v>0</v>
      </c>
      <c r="W35" s="3256"/>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255" t="str">
        <f>A36</f>
        <v>比较价值（元/平方米）</v>
      </c>
      <c r="Q36" s="3255"/>
      <c r="R36" s="3256" t="e">
        <f>IF(F1="售价",ROUND(PRODUCT(R35,AA7:AA34),0),ROUND(PRODUCT(R35,AA7:AA34),1))</f>
        <v>#DIV/0!</v>
      </c>
      <c r="S36" s="3256"/>
      <c r="T36" s="3256" t="e">
        <f>IF(F1="售价",ROUND(PRODUCT(T35,AB7:AB34),0),ROUND(PRODUCT(T35,AB7:AB34),1))</f>
        <v>#DIV/0!</v>
      </c>
      <c r="U36" s="3256"/>
      <c r="V36" s="3256" t="e">
        <f>IF(F1="售价",ROUND(PRODUCT(V35,AC7:AC34),0),ROUND(PRODUCT(V35,AC7:AC34),1))</f>
        <v>#DIV/0!</v>
      </c>
      <c r="W36" s="3256"/>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252" t="str">
        <f>A37</f>
        <v>估价对象XX用房的比较价值（楼面单价，元/平方米）</v>
      </c>
      <c r="Q37" s="3253"/>
      <c r="R37" s="3254" t="e">
        <f>IF(F1="售价",ROUND(AVERAGE(R36:V36),0),ROUND(AVERAGE(R36:V36),1))</f>
        <v>#DIV/0!</v>
      </c>
      <c r="S37" s="3254"/>
      <c r="T37" s="3254"/>
      <c r="U37" s="3254"/>
      <c r="V37" s="3254"/>
      <c r="W37" s="325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4" t="str">
        <f>YEAR(C7)&amp;"-"&amp;MONTH(C7)</f>
        <v>2020-3</v>
      </c>
      <c r="D46" s="1575">
        <f>EDATE(C46,-1)</f>
        <v>43862</v>
      </c>
      <c r="E46" s="1575">
        <f t="shared" ref="E46:O46" si="16">EDATE(D46,-1)</f>
        <v>43831</v>
      </c>
      <c r="F46" s="1575">
        <f t="shared" si="16"/>
        <v>43800</v>
      </c>
      <c r="G46" s="1575">
        <f t="shared" si="16"/>
        <v>43770</v>
      </c>
      <c r="H46" s="1575">
        <f t="shared" si="16"/>
        <v>43739</v>
      </c>
      <c r="I46" s="1575">
        <f t="shared" si="16"/>
        <v>43709</v>
      </c>
      <c r="J46" s="1575">
        <f t="shared" si="16"/>
        <v>43678</v>
      </c>
      <c r="K46" s="1575">
        <f t="shared" si="16"/>
        <v>43647</v>
      </c>
      <c r="L46" s="1575">
        <f t="shared" si="16"/>
        <v>43617</v>
      </c>
      <c r="M46" s="1575">
        <f t="shared" si="16"/>
        <v>43586</v>
      </c>
      <c r="N46" s="1575">
        <f t="shared" si="16"/>
        <v>43556</v>
      </c>
      <c r="O46" s="1575">
        <f t="shared" si="16"/>
        <v>43525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9" sqref="M19"/>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238" t="s">
        <v>2643</v>
      </c>
      <c r="D4" s="3239"/>
      <c r="E4" s="3240" t="s">
        <v>2644</v>
      </c>
      <c r="F4" s="3241"/>
      <c r="G4" s="3238" t="s">
        <v>2645</v>
      </c>
      <c r="H4" s="3239"/>
      <c r="I4" s="3238" t="s">
        <v>2646</v>
      </c>
      <c r="J4" s="3239"/>
      <c r="K4" s="610" t="s">
        <v>2647</v>
      </c>
      <c r="L4" s="1130"/>
      <c r="M4" s="1131"/>
      <c r="N4" s="1131"/>
      <c r="O4" s="1131"/>
      <c r="P4" s="3242" t="s">
        <v>2648</v>
      </c>
      <c r="Q4" s="3243"/>
      <c r="R4" s="3225" t="s">
        <v>2644</v>
      </c>
      <c r="S4" s="3226"/>
      <c r="T4" s="3225" t="s">
        <v>2645</v>
      </c>
      <c r="U4" s="3226"/>
      <c r="V4" s="3250" t="s">
        <v>2646</v>
      </c>
      <c r="W4" s="3250"/>
      <c r="X4" s="1812"/>
      <c r="Y4" s="3225" t="s">
        <v>2648</v>
      </c>
      <c r="Z4" s="3226"/>
      <c r="AA4" s="3220" t="s">
        <v>2644</v>
      </c>
      <c r="AB4" s="3221" t="s">
        <v>2645</v>
      </c>
      <c r="AC4" s="3220" t="s">
        <v>2646</v>
      </c>
    </row>
    <row r="5" spans="1:30" ht="15">
      <c r="A5" s="404"/>
      <c r="B5" s="405"/>
      <c r="C5" s="3231" t="s">
        <v>2539</v>
      </c>
      <c r="D5" s="3232"/>
      <c r="E5" s="3229" t="s">
        <v>2540</v>
      </c>
      <c r="F5" s="3230"/>
      <c r="G5" s="3231" t="s">
        <v>2541</v>
      </c>
      <c r="H5" s="3232"/>
      <c r="I5" s="3231" t="s">
        <v>2542</v>
      </c>
      <c r="J5" s="3232"/>
      <c r="K5" s="610"/>
      <c r="L5" s="1130"/>
      <c r="M5" s="1131"/>
      <c r="N5" s="1131"/>
      <c r="O5" s="1131"/>
      <c r="P5" s="3244"/>
      <c r="Q5" s="3245"/>
      <c r="R5" s="3227"/>
      <c r="S5" s="3228"/>
      <c r="T5" s="3227"/>
      <c r="U5" s="3228"/>
      <c r="V5" s="3250"/>
      <c r="W5" s="3250"/>
      <c r="X5" s="1812"/>
      <c r="Y5" s="3227"/>
      <c r="Z5" s="3228"/>
      <c r="AA5" s="3221"/>
      <c r="AB5" s="3221"/>
      <c r="AC5" s="3221"/>
    </row>
    <row r="6" spans="1:30" ht="15.75" thickBot="1">
      <c r="A6" s="406"/>
      <c r="B6" s="407"/>
      <c r="C6" s="3233" t="s">
        <v>2543</v>
      </c>
      <c r="D6" s="3234"/>
      <c r="E6" s="3235" t="s">
        <v>2543</v>
      </c>
      <c r="F6" s="3236"/>
      <c r="G6" s="3233" t="s">
        <v>2543</v>
      </c>
      <c r="H6" s="3234"/>
      <c r="I6" s="3233" t="s">
        <v>2543</v>
      </c>
      <c r="J6" s="3234"/>
      <c r="K6" s="610" t="s">
        <v>2544</v>
      </c>
      <c r="L6" s="1130"/>
      <c r="M6" s="1131"/>
      <c r="N6" s="1131"/>
      <c r="O6" s="1131"/>
      <c r="P6" s="3246"/>
      <c r="Q6" s="3247"/>
      <c r="R6" s="3227"/>
      <c r="S6" s="3228"/>
      <c r="T6" s="3248"/>
      <c r="U6" s="3249"/>
      <c r="V6" s="3250"/>
      <c r="W6" s="3250"/>
      <c r="X6" s="1812"/>
      <c r="Y6" s="3248"/>
      <c r="Z6" s="3249"/>
      <c r="AA6" s="3222"/>
      <c r="AB6" s="3222"/>
      <c r="AC6" s="3222"/>
    </row>
    <row r="7" spans="1:30" s="117" customFormat="1" ht="15.75" thickBot="1">
      <c r="A7" s="408" t="s">
        <v>2545</v>
      </c>
      <c r="B7" s="409"/>
      <c r="C7" s="410">
        <f>'数据-取费表'!B2</f>
        <v>43902</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2"/>
      <c r="M7" s="1133"/>
      <c r="N7" s="1133"/>
      <c r="O7" s="1133"/>
      <c r="P7" s="3223" t="s">
        <v>2546</v>
      </c>
      <c r="Q7" s="3251"/>
      <c r="R7" s="770" t="s">
        <v>17</v>
      </c>
      <c r="S7" s="771">
        <f t="shared" ref="S7:S15" si="0">F7</f>
        <v>0</v>
      </c>
      <c r="T7" s="770" t="s">
        <v>17</v>
      </c>
      <c r="U7" s="771">
        <f t="shared" ref="U7:U15" si="1">H7</f>
        <v>0</v>
      </c>
      <c r="V7" s="770" t="s">
        <v>17</v>
      </c>
      <c r="W7" s="771">
        <f t="shared" ref="W7:W15" si="2">J7</f>
        <v>0</v>
      </c>
      <c r="X7" s="772"/>
      <c r="Y7" s="3223" t="s">
        <v>2546</v>
      </c>
      <c r="Z7" s="3224"/>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23" t="s">
        <v>2549</v>
      </c>
      <c r="Q8" s="3224"/>
      <c r="R8" s="770" t="s">
        <v>17</v>
      </c>
      <c r="S8" s="771">
        <f t="shared" si="0"/>
        <v>0</v>
      </c>
      <c r="T8" s="770" t="s">
        <v>17</v>
      </c>
      <c r="U8" s="771">
        <f t="shared" si="1"/>
        <v>0</v>
      </c>
      <c r="V8" s="770" t="s">
        <v>17</v>
      </c>
      <c r="W8" s="771">
        <f t="shared" si="2"/>
        <v>0</v>
      </c>
      <c r="X8" s="772"/>
      <c r="Y8" s="3223" t="s">
        <v>2549</v>
      </c>
      <c r="Z8" s="3224"/>
      <c r="AA8" s="773" t="e">
        <f t="shared" ref="AA8:AA45" si="3">D8/F8</f>
        <v>#DIV/0!</v>
      </c>
      <c r="AB8" s="773" t="e">
        <f t="shared" ref="AB8:AB45" si="4">D8/H8</f>
        <v>#DIV/0!</v>
      </c>
      <c r="AC8" s="773" t="e">
        <f t="shared" ref="AC8:AC45" si="5">D8/J8</f>
        <v>#DIV/0!</v>
      </c>
    </row>
    <row r="9" spans="1:30" s="117" customFormat="1">
      <c r="A9" s="415" t="s">
        <v>2550</v>
      </c>
      <c r="B9" s="71" t="s">
        <v>2551</v>
      </c>
      <c r="C9" s="2696"/>
      <c r="D9" s="135">
        <v>100</v>
      </c>
      <c r="E9" s="2696"/>
      <c r="F9" s="135">
        <f>SUMIF(75:75,E9,76:76)-SUMIF(75:75,C9,76:76)+100</f>
        <v>100</v>
      </c>
      <c r="G9" s="2696"/>
      <c r="H9" s="135">
        <f>SUMIF(75:75,G9,76:76)-SUMIF(75:75,C9,76:76)+100</f>
        <v>100</v>
      </c>
      <c r="I9" s="2696"/>
      <c r="J9" s="135">
        <f>SUMIF(75:75,I9,76:76)-SUMIF(75:75,C9,76:76)+100</f>
        <v>100</v>
      </c>
      <c r="K9" s="611"/>
      <c r="L9" s="1132"/>
      <c r="M9" s="1133"/>
      <c r="N9" s="1133"/>
      <c r="O9" s="1134"/>
      <c r="P9" s="3255" t="s">
        <v>2552</v>
      </c>
      <c r="Q9" s="1794" t="str">
        <f t="shared" ref="Q9:Q15" si="6">B9</f>
        <v>用途</v>
      </c>
      <c r="R9" s="770" t="s">
        <v>17</v>
      </c>
      <c r="S9" s="771">
        <f t="shared" si="0"/>
        <v>100</v>
      </c>
      <c r="T9" s="770" t="s">
        <v>17</v>
      </c>
      <c r="U9" s="771">
        <f t="shared" si="1"/>
        <v>100</v>
      </c>
      <c r="V9" s="770" t="s">
        <v>17</v>
      </c>
      <c r="W9" s="771">
        <f t="shared" si="2"/>
        <v>100</v>
      </c>
      <c r="X9" s="772"/>
      <c r="Y9" s="3047"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110</v>
      </c>
      <c r="G10" s="463"/>
      <c r="H10" s="136">
        <f>ROUND(100/'数据-取费表'!G16,0)</f>
        <v>110</v>
      </c>
      <c r="I10" s="463"/>
      <c r="J10" s="136">
        <f>ROUND(100/'数据-取费表'!G16,0)</f>
        <v>110</v>
      </c>
      <c r="K10" s="672"/>
      <c r="L10" s="1135"/>
      <c r="M10" s="1136"/>
      <c r="N10" s="1136"/>
      <c r="O10" s="1137"/>
      <c r="P10" s="3255"/>
      <c r="Q10" s="1794" t="str">
        <f t="shared" si="6"/>
        <v>土地使用年限（年）</v>
      </c>
      <c r="R10" s="770" t="s">
        <v>17</v>
      </c>
      <c r="S10" s="771">
        <f t="shared" si="0"/>
        <v>110</v>
      </c>
      <c r="T10" s="770" t="s">
        <v>17</v>
      </c>
      <c r="U10" s="771">
        <f t="shared" si="1"/>
        <v>110</v>
      </c>
      <c r="V10" s="770" t="s">
        <v>17</v>
      </c>
      <c r="W10" s="771">
        <f t="shared" si="2"/>
        <v>110</v>
      </c>
      <c r="X10" s="772"/>
      <c r="Y10" s="3047"/>
      <c r="Z10" s="55" t="str">
        <f t="shared" si="7"/>
        <v>土地使用年限（年）</v>
      </c>
      <c r="AA10" s="773">
        <f t="shared" si="3"/>
        <v>0.90909090909090906</v>
      </c>
      <c r="AB10" s="773">
        <f t="shared" si="4"/>
        <v>0.90909090909090906</v>
      </c>
      <c r="AC10" s="773">
        <f t="shared" si="5"/>
        <v>0.90909090909090906</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55"/>
      <c r="Q11" s="1794"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773" t="e">
        <f t="shared" si="5"/>
        <v>#N/A</v>
      </c>
    </row>
    <row r="12" spans="1:30" s="117" customFormat="1" ht="15">
      <c r="A12" s="431"/>
      <c r="B12" s="2597"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55"/>
      <c r="Q12" s="1794" t="str">
        <f t="shared" si="6"/>
        <v>配建</v>
      </c>
      <c r="R12" s="770" t="s">
        <v>17</v>
      </c>
      <c r="S12" s="771">
        <f t="shared" si="0"/>
        <v>100</v>
      </c>
      <c r="T12" s="770" t="s">
        <v>17</v>
      </c>
      <c r="U12" s="771">
        <f t="shared" si="1"/>
        <v>100</v>
      </c>
      <c r="V12" s="770" t="s">
        <v>17</v>
      </c>
      <c r="W12" s="771">
        <f t="shared" si="2"/>
        <v>100</v>
      </c>
      <c r="X12" s="772"/>
      <c r="Y12" s="3047"/>
      <c r="Z12" s="55" t="str">
        <f t="shared" si="7"/>
        <v>配建</v>
      </c>
      <c r="AA12" s="773">
        <f>D12/F12</f>
        <v>1</v>
      </c>
      <c r="AB12" s="773">
        <f>D12/H12</f>
        <v>1</v>
      </c>
      <c r="AC12" s="773">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55"/>
      <c r="Q13" s="1794">
        <f t="shared" si="6"/>
        <v>111</v>
      </c>
      <c r="R13" s="770" t="s">
        <v>17</v>
      </c>
      <c r="S13" s="771">
        <f t="shared" si="0"/>
        <v>100</v>
      </c>
      <c r="T13" s="770" t="s">
        <v>17</v>
      </c>
      <c r="U13" s="771">
        <f t="shared" si="1"/>
        <v>100</v>
      </c>
      <c r="V13" s="770" t="s">
        <v>17</v>
      </c>
      <c r="W13" s="771">
        <f t="shared" si="2"/>
        <v>100</v>
      </c>
      <c r="X13" s="772"/>
      <c r="Y13" s="3047"/>
      <c r="Z13" s="55">
        <f t="shared" si="7"/>
        <v>111</v>
      </c>
      <c r="AA13" s="773">
        <f>D13/F13</f>
        <v>1</v>
      </c>
      <c r="AB13" s="773">
        <f>D13/H13</f>
        <v>1</v>
      </c>
      <c r="AC13" s="773">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55"/>
      <c r="Q14" s="1794">
        <f t="shared" si="6"/>
        <v>111</v>
      </c>
      <c r="R14" s="770" t="s">
        <v>17</v>
      </c>
      <c r="S14" s="771">
        <f t="shared" si="0"/>
        <v>100</v>
      </c>
      <c r="T14" s="770" t="s">
        <v>17</v>
      </c>
      <c r="U14" s="771">
        <f t="shared" si="1"/>
        <v>100</v>
      </c>
      <c r="V14" s="770" t="s">
        <v>17</v>
      </c>
      <c r="W14" s="771">
        <f t="shared" si="2"/>
        <v>100</v>
      </c>
      <c r="X14" s="772"/>
      <c r="Y14" s="3047"/>
      <c r="Z14" s="55">
        <f t="shared" si="7"/>
        <v>111</v>
      </c>
      <c r="AA14" s="773">
        <f>D14/F14</f>
        <v>1</v>
      </c>
      <c r="AB14" s="773">
        <f>D14/H14</f>
        <v>1</v>
      </c>
      <c r="AC14" s="773">
        <f>D14/J14</f>
        <v>1</v>
      </c>
    </row>
    <row r="15" spans="1:30" ht="99.75">
      <c r="A15" s="440" t="s">
        <v>2556</v>
      </c>
      <c r="B15" s="69" t="s">
        <v>2081</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57" t="s">
        <v>2557</v>
      </c>
      <c r="Q15" s="1809" t="str">
        <f t="shared" si="6"/>
        <v>居住社区成熟度</v>
      </c>
      <c r="R15" s="774" t="s">
        <v>17</v>
      </c>
      <c r="S15" s="775">
        <f t="shared" si="0"/>
        <v>100</v>
      </c>
      <c r="T15" s="774" t="s">
        <v>17</v>
      </c>
      <c r="U15" s="775">
        <f t="shared" si="1"/>
        <v>100</v>
      </c>
      <c r="V15" s="774" t="s">
        <v>17</v>
      </c>
      <c r="W15" s="775">
        <f t="shared" si="2"/>
        <v>100</v>
      </c>
      <c r="X15" s="1812"/>
      <c r="Y15" s="3257" t="s">
        <v>2557</v>
      </c>
      <c r="Z15" s="1813" t="str">
        <f t="shared" si="7"/>
        <v>居住社区成熟度</v>
      </c>
      <c r="AA15" s="1810">
        <f t="shared" si="3"/>
        <v>1</v>
      </c>
      <c r="AB15" s="1810">
        <f t="shared" si="4"/>
        <v>1</v>
      </c>
      <c r="AC15" s="1810">
        <f t="shared" si="5"/>
        <v>1</v>
      </c>
    </row>
    <row r="16" spans="1:30" ht="15">
      <c r="A16" s="428"/>
      <c r="B16" s="446"/>
      <c r="C16" s="447"/>
      <c r="D16" s="448"/>
      <c r="E16" s="2602"/>
      <c r="F16" s="448"/>
      <c r="G16" s="2602"/>
      <c r="H16" s="450"/>
      <c r="I16" s="2601"/>
      <c r="J16" s="448"/>
      <c r="K16" s="672"/>
      <c r="L16" s="1140"/>
      <c r="M16" s="1131"/>
      <c r="N16" s="1131"/>
      <c r="O16" s="1139"/>
      <c r="P16" s="3258"/>
      <c r="Q16" s="1809"/>
      <c r="R16" s="774"/>
      <c r="S16" s="775"/>
      <c r="T16" s="774"/>
      <c r="U16" s="775"/>
      <c r="V16" s="774"/>
      <c r="W16" s="775"/>
      <c r="X16" s="1812"/>
      <c r="Y16" s="3258"/>
      <c r="Z16" s="1813"/>
      <c r="AA16" s="1810">
        <v>1</v>
      </c>
      <c r="AB16" s="1810">
        <v>1</v>
      </c>
      <c r="AC16" s="1810">
        <v>1</v>
      </c>
    </row>
    <row r="17" spans="1:29" ht="71.25">
      <c r="A17" s="428"/>
      <c r="B17" s="451" t="s">
        <v>2650</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58"/>
      <c r="Q17" s="1809" t="str">
        <f>B17</f>
        <v>商业繁华度</v>
      </c>
      <c r="R17" s="774" t="s">
        <v>17</v>
      </c>
      <c r="S17" s="775">
        <f>F17</f>
        <v>100</v>
      </c>
      <c r="T17" s="774" t="s">
        <v>17</v>
      </c>
      <c r="U17" s="775">
        <f>H17</f>
        <v>100</v>
      </c>
      <c r="V17" s="774" t="s">
        <v>17</v>
      </c>
      <c r="W17" s="775">
        <f>J17</f>
        <v>100</v>
      </c>
      <c r="X17" s="1812"/>
      <c r="Y17" s="3258"/>
      <c r="Z17" s="1813" t="str">
        <f>Q17</f>
        <v>商业繁华度</v>
      </c>
      <c r="AA17" s="1810">
        <f t="shared" si="3"/>
        <v>1</v>
      </c>
      <c r="AB17" s="1810">
        <f t="shared" si="4"/>
        <v>1</v>
      </c>
      <c r="AC17" s="1810">
        <f t="shared" si="5"/>
        <v>1</v>
      </c>
    </row>
    <row r="18" spans="1:29" ht="15">
      <c r="A18" s="428"/>
      <c r="B18" s="456"/>
      <c r="C18" s="2605"/>
      <c r="D18" s="450"/>
      <c r="E18" s="2607"/>
      <c r="F18" s="450"/>
      <c r="G18" s="2607"/>
      <c r="H18" s="448"/>
      <c r="I18" s="2606"/>
      <c r="J18" s="448"/>
      <c r="K18" s="672"/>
      <c r="L18" s="1140"/>
      <c r="M18" s="1131"/>
      <c r="N18" s="1131"/>
      <c r="O18" s="1139"/>
      <c r="P18" s="3258"/>
      <c r="Q18" s="1809"/>
      <c r="R18" s="774"/>
      <c r="S18" s="775"/>
      <c r="T18" s="774"/>
      <c r="U18" s="775"/>
      <c r="V18" s="774"/>
      <c r="W18" s="775"/>
      <c r="X18" s="1812"/>
      <c r="Y18" s="3258"/>
      <c r="Z18" s="1813"/>
      <c r="AA18" s="1810">
        <v>1</v>
      </c>
      <c r="AB18" s="1810">
        <v>1</v>
      </c>
      <c r="AC18" s="1810">
        <v>1</v>
      </c>
    </row>
    <row r="19" spans="1:29" ht="71.25">
      <c r="A19" s="428"/>
      <c r="B19" s="451" t="s">
        <v>2684</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58"/>
      <c r="Q19" s="1809" t="str">
        <f>B19</f>
        <v>办公集聚程度</v>
      </c>
      <c r="R19" s="774" t="s">
        <v>17</v>
      </c>
      <c r="S19" s="775">
        <f>F19</f>
        <v>100</v>
      </c>
      <c r="T19" s="774" t="s">
        <v>17</v>
      </c>
      <c r="U19" s="775">
        <f>H19</f>
        <v>100</v>
      </c>
      <c r="V19" s="774" t="s">
        <v>17</v>
      </c>
      <c r="W19" s="775">
        <f>J19</f>
        <v>100</v>
      </c>
      <c r="X19" s="1812"/>
      <c r="Y19" s="3258"/>
      <c r="Z19" s="1813" t="str">
        <f>Q19</f>
        <v>办公集聚程度</v>
      </c>
      <c r="AA19" s="1810">
        <f t="shared" si="3"/>
        <v>1</v>
      </c>
      <c r="AB19" s="1810">
        <f t="shared" si="4"/>
        <v>1</v>
      </c>
      <c r="AC19" s="1810">
        <f t="shared" si="5"/>
        <v>1</v>
      </c>
    </row>
    <row r="20" spans="1:29" ht="15">
      <c r="A20" s="428"/>
      <c r="B20" s="456"/>
      <c r="C20" s="447"/>
      <c r="D20" s="448"/>
      <c r="E20" s="2602"/>
      <c r="F20" s="448"/>
      <c r="G20" s="2602"/>
      <c r="H20" s="448"/>
      <c r="I20" s="2601"/>
      <c r="J20" s="448"/>
      <c r="K20" s="672"/>
      <c r="L20" s="1140"/>
      <c r="M20" s="1131"/>
      <c r="N20" s="1131"/>
      <c r="O20" s="1139"/>
      <c r="P20" s="3258"/>
      <c r="Q20" s="1809"/>
      <c r="R20" s="774"/>
      <c r="S20" s="775"/>
      <c r="T20" s="774"/>
      <c r="U20" s="775"/>
      <c r="V20" s="774"/>
      <c r="W20" s="775"/>
      <c r="X20" s="1812"/>
      <c r="Y20" s="3258"/>
      <c r="Z20" s="1813"/>
      <c r="AA20" s="1810">
        <v>1</v>
      </c>
      <c r="AB20" s="1810">
        <v>1</v>
      </c>
      <c r="AC20" s="1810">
        <v>1</v>
      </c>
    </row>
    <row r="21" spans="1:29" ht="85.5">
      <c r="A21" s="428"/>
      <c r="B21" s="451" t="s">
        <v>2706</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58"/>
      <c r="Q21" s="1809" t="str">
        <f>B21</f>
        <v>交通便捷度</v>
      </c>
      <c r="R21" s="774" t="s">
        <v>17</v>
      </c>
      <c r="S21" s="775">
        <f>F21</f>
        <v>100</v>
      </c>
      <c r="T21" s="774" t="s">
        <v>17</v>
      </c>
      <c r="U21" s="775">
        <f>H21</f>
        <v>100</v>
      </c>
      <c r="V21" s="774" t="s">
        <v>17</v>
      </c>
      <c r="W21" s="775">
        <f>J21</f>
        <v>100</v>
      </c>
      <c r="X21" s="1812"/>
      <c r="Y21" s="3258"/>
      <c r="Z21" s="1813" t="str">
        <f>Q21</f>
        <v>交通便捷度</v>
      </c>
      <c r="AA21" s="1810">
        <f t="shared" si="3"/>
        <v>1</v>
      </c>
      <c r="AB21" s="1810">
        <f t="shared" si="4"/>
        <v>1</v>
      </c>
      <c r="AC21" s="1810">
        <f t="shared" si="5"/>
        <v>1</v>
      </c>
    </row>
    <row r="22" spans="1:29" ht="15">
      <c r="A22" s="428"/>
      <c r="B22" s="1384"/>
      <c r="C22" s="447"/>
      <c r="D22" s="450"/>
      <c r="E22" s="2602"/>
      <c r="F22" s="448"/>
      <c r="G22" s="2602"/>
      <c r="H22" s="448"/>
      <c r="I22" s="2601"/>
      <c r="J22" s="448"/>
      <c r="K22" s="672"/>
      <c r="L22" s="1140"/>
      <c r="M22" s="1131"/>
      <c r="N22" s="1131"/>
      <c r="O22" s="1139"/>
      <c r="P22" s="3258"/>
      <c r="Q22" s="1809"/>
      <c r="R22" s="774"/>
      <c r="S22" s="775"/>
      <c r="T22" s="774"/>
      <c r="U22" s="775"/>
      <c r="V22" s="774"/>
      <c r="W22" s="775"/>
      <c r="X22" s="1812"/>
      <c r="Y22" s="3258"/>
      <c r="Z22" s="1813"/>
      <c r="AA22" s="1810">
        <v>1</v>
      </c>
      <c r="AB22" s="1810">
        <v>1</v>
      </c>
      <c r="AC22" s="1810">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58"/>
      <c r="Q23" s="1809" t="str">
        <f t="shared" ref="Q23:Q37" si="8">B23</f>
        <v>区域土地利用方向</v>
      </c>
      <c r="R23" s="774" t="s">
        <v>17</v>
      </c>
      <c r="S23" s="775">
        <f>F23</f>
        <v>100</v>
      </c>
      <c r="T23" s="774" t="s">
        <v>17</v>
      </c>
      <c r="U23" s="775">
        <f>H23</f>
        <v>100</v>
      </c>
      <c r="V23" s="774" t="s">
        <v>17</v>
      </c>
      <c r="W23" s="775">
        <f>J23</f>
        <v>100</v>
      </c>
      <c r="X23" s="1812"/>
      <c r="Y23" s="3258"/>
      <c r="Z23" s="1813" t="str">
        <f>Q23</f>
        <v>区域土地利用方向</v>
      </c>
      <c r="AA23" s="1810">
        <f t="shared" si="3"/>
        <v>1</v>
      </c>
      <c r="AB23" s="1810">
        <f t="shared" si="4"/>
        <v>1</v>
      </c>
      <c r="AC23" s="1810">
        <f t="shared" si="5"/>
        <v>1</v>
      </c>
    </row>
    <row r="24" spans="1:29" ht="15">
      <c r="A24" s="404"/>
      <c r="B24" s="456"/>
      <c r="C24" s="616"/>
      <c r="D24" s="448"/>
      <c r="E24" s="2602"/>
      <c r="F24" s="448"/>
      <c r="G24" s="2601"/>
      <c r="H24" s="448"/>
      <c r="I24" s="2601"/>
      <c r="J24" s="448"/>
      <c r="K24" s="812"/>
      <c r="L24" s="1140"/>
      <c r="M24" s="1131"/>
      <c r="N24" s="1131"/>
      <c r="O24" s="1139"/>
      <c r="P24" s="3258"/>
      <c r="Q24" s="1809"/>
      <c r="R24" s="774"/>
      <c r="S24" s="775"/>
      <c r="T24" s="774"/>
      <c r="U24" s="775"/>
      <c r="V24" s="774"/>
      <c r="W24" s="775"/>
      <c r="X24" s="1812"/>
      <c r="Y24" s="3258"/>
      <c r="Z24" s="1813"/>
      <c r="AA24" s="1810"/>
      <c r="AB24" s="1810"/>
      <c r="AC24" s="1810"/>
    </row>
    <row r="25" spans="1:29" ht="57">
      <c r="A25" s="404"/>
      <c r="B25" s="1384" t="s">
        <v>2746</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58"/>
      <c r="Q25" s="1809" t="str">
        <f t="shared" si="8"/>
        <v>自然及人文环境状况</v>
      </c>
      <c r="R25" s="774" t="s">
        <v>17</v>
      </c>
      <c r="S25" s="775">
        <f>F25</f>
        <v>100</v>
      </c>
      <c r="T25" s="774" t="s">
        <v>17</v>
      </c>
      <c r="U25" s="775">
        <f>H25</f>
        <v>100</v>
      </c>
      <c r="V25" s="774" t="s">
        <v>17</v>
      </c>
      <c r="W25" s="775">
        <f>J25</f>
        <v>100</v>
      </c>
      <c r="X25" s="1812"/>
      <c r="Y25" s="3258"/>
      <c r="Z25" s="1813" t="str">
        <f>Q25</f>
        <v>自然及人文环境状况</v>
      </c>
      <c r="AA25" s="1810">
        <f t="shared" si="3"/>
        <v>1</v>
      </c>
      <c r="AB25" s="1810">
        <f t="shared" si="4"/>
        <v>1</v>
      </c>
      <c r="AC25" s="1810">
        <f t="shared" si="5"/>
        <v>1</v>
      </c>
    </row>
    <row r="26" spans="1:29" ht="15">
      <c r="A26" s="404"/>
      <c r="B26" s="456"/>
      <c r="C26" s="447"/>
      <c r="D26" s="448"/>
      <c r="E26" s="2608"/>
      <c r="F26" s="448"/>
      <c r="G26" s="2608"/>
      <c r="H26" s="448"/>
      <c r="I26" s="447"/>
      <c r="J26" s="448"/>
      <c r="K26" s="672"/>
      <c r="L26" s="1140"/>
      <c r="M26" s="1131"/>
      <c r="N26" s="1131"/>
      <c r="O26" s="1139"/>
      <c r="P26" s="3258"/>
      <c r="Q26" s="1809"/>
      <c r="R26" s="774"/>
      <c r="S26" s="775"/>
      <c r="T26" s="774"/>
      <c r="U26" s="775"/>
      <c r="V26" s="774"/>
      <c r="W26" s="775"/>
      <c r="X26" s="1812"/>
      <c r="Y26" s="3258"/>
      <c r="Z26" s="1813"/>
      <c r="AA26" s="1810">
        <v>1</v>
      </c>
      <c r="AB26" s="1810">
        <v>1</v>
      </c>
      <c r="AC26" s="1810">
        <v>1</v>
      </c>
    </row>
    <row r="27" spans="1:29" s="117" customFormat="1" ht="42.75">
      <c r="A27" s="649"/>
      <c r="B27" s="1384" t="s">
        <v>2651</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58"/>
      <c r="Q27" s="1794" t="str">
        <f t="shared" si="8"/>
        <v>公共配套设施</v>
      </c>
      <c r="R27" s="770" t="s">
        <v>17</v>
      </c>
      <c r="S27" s="771">
        <f>F27</f>
        <v>100</v>
      </c>
      <c r="T27" s="770" t="s">
        <v>17</v>
      </c>
      <c r="U27" s="771">
        <f>H27</f>
        <v>100</v>
      </c>
      <c r="V27" s="770" t="s">
        <v>17</v>
      </c>
      <c r="W27" s="771">
        <f>J27</f>
        <v>100</v>
      </c>
      <c r="X27" s="772"/>
      <c r="Y27" s="3258"/>
      <c r="Z27" s="55" t="str">
        <f>Q27</f>
        <v>公共配套设施</v>
      </c>
      <c r="AA27" s="1810">
        <f>D27/F27</f>
        <v>1</v>
      </c>
      <c r="AB27" s="1810">
        <f>D27/H27</f>
        <v>1</v>
      </c>
      <c r="AC27" s="1810">
        <f>D27/J27</f>
        <v>1</v>
      </c>
    </row>
    <row r="28" spans="1:29" s="117" customFormat="1" ht="15">
      <c r="A28" s="649"/>
      <c r="B28" s="456"/>
      <c r="C28" s="2697"/>
      <c r="D28" s="448"/>
      <c r="E28" s="2608"/>
      <c r="F28" s="448"/>
      <c r="G28" s="2608"/>
      <c r="H28" s="448"/>
      <c r="I28" s="447"/>
      <c r="J28" s="448"/>
      <c r="K28" s="672"/>
      <c r="L28" s="1132"/>
      <c r="M28" s="1133"/>
      <c r="N28" s="1133"/>
      <c r="O28" s="1134"/>
      <c r="P28" s="3258"/>
      <c r="Q28" s="1794"/>
      <c r="R28" s="770"/>
      <c r="S28" s="771"/>
      <c r="T28" s="770"/>
      <c r="U28" s="771"/>
      <c r="V28" s="770"/>
      <c r="W28" s="771"/>
      <c r="X28" s="772"/>
      <c r="Y28" s="3258"/>
      <c r="Z28" s="55"/>
      <c r="AA28" s="1810">
        <v>1</v>
      </c>
      <c r="AB28" s="1810">
        <v>1</v>
      </c>
      <c r="AC28" s="1810">
        <v>1</v>
      </c>
    </row>
    <row r="29" spans="1:29" s="117" customFormat="1" ht="28.5">
      <c r="A29" s="649"/>
      <c r="B29" s="1384" t="s">
        <v>2652</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58"/>
      <c r="Q29" s="1794" t="str">
        <f t="shared" ref="Q29" si="9">B29</f>
        <v>基础设施水平</v>
      </c>
      <c r="R29" s="770" t="s">
        <v>17</v>
      </c>
      <c r="S29" s="771">
        <f>F29</f>
        <v>100</v>
      </c>
      <c r="T29" s="770" t="s">
        <v>17</v>
      </c>
      <c r="U29" s="771">
        <f>H29</f>
        <v>100</v>
      </c>
      <c r="V29" s="770" t="s">
        <v>17</v>
      </c>
      <c r="W29" s="771">
        <f>J29</f>
        <v>100</v>
      </c>
      <c r="X29" s="772"/>
      <c r="Y29" s="3258"/>
      <c r="Z29" s="55" t="str">
        <f>Q29</f>
        <v>基础设施水平</v>
      </c>
      <c r="AA29" s="1810">
        <f>D29/F29</f>
        <v>1</v>
      </c>
      <c r="AB29" s="1810">
        <f>D29/H29</f>
        <v>1</v>
      </c>
      <c r="AC29" s="1810">
        <f>D29/J29</f>
        <v>1</v>
      </c>
    </row>
    <row r="30" spans="1:29" s="117" customFormat="1" ht="15">
      <c r="A30" s="649"/>
      <c r="B30" s="456"/>
      <c r="C30" s="2697"/>
      <c r="D30" s="448"/>
      <c r="E30" s="2698"/>
      <c r="F30" s="448"/>
      <c r="G30" s="2698"/>
      <c r="H30" s="448"/>
      <c r="I30" s="2698"/>
      <c r="J30" s="448"/>
      <c r="K30" s="672"/>
      <c r="L30" s="1132"/>
      <c r="M30" s="1133"/>
      <c r="N30" s="1133"/>
      <c r="O30" s="1134"/>
      <c r="P30" s="3258"/>
      <c r="Q30" s="1794"/>
      <c r="R30" s="770"/>
      <c r="S30" s="771"/>
      <c r="T30" s="770"/>
      <c r="U30" s="771"/>
      <c r="V30" s="770"/>
      <c r="W30" s="771"/>
      <c r="X30" s="772"/>
      <c r="Y30" s="3258"/>
      <c r="Z30" s="55"/>
      <c r="AA30" s="1810">
        <v>1</v>
      </c>
      <c r="AB30" s="1810">
        <v>1</v>
      </c>
      <c r="AC30" s="1810">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58"/>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58"/>
      <c r="Z31" s="1813" t="str">
        <f t="shared" ref="Z31:Z45" si="13">Q31</f>
        <v>临街状况</v>
      </c>
      <c r="AA31" s="1810">
        <f t="shared" si="3"/>
        <v>1</v>
      </c>
      <c r="AB31" s="1810">
        <f t="shared" si="4"/>
        <v>1</v>
      </c>
      <c r="AC31" s="1810">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58"/>
      <c r="Q32" s="1809" t="str">
        <f t="shared" si="8"/>
        <v>毗邻道路的类型与等级</v>
      </c>
      <c r="R32" s="774" t="s">
        <v>17</v>
      </c>
      <c r="S32" s="775">
        <f t="shared" si="10"/>
        <v>100</v>
      </c>
      <c r="T32" s="774" t="s">
        <v>17</v>
      </c>
      <c r="U32" s="775">
        <f t="shared" si="11"/>
        <v>100</v>
      </c>
      <c r="V32" s="774" t="s">
        <v>17</v>
      </c>
      <c r="W32" s="775">
        <f t="shared" si="12"/>
        <v>100</v>
      </c>
      <c r="X32" s="1812"/>
      <c r="Y32" s="3258"/>
      <c r="Z32" s="1813" t="str">
        <f t="shared" si="13"/>
        <v>毗邻道路的类型与等级</v>
      </c>
      <c r="AA32" s="1810">
        <f t="shared" si="3"/>
        <v>1</v>
      </c>
      <c r="AB32" s="1810">
        <f t="shared" si="4"/>
        <v>1</v>
      </c>
      <c r="AC32" s="1810">
        <f t="shared" si="5"/>
        <v>1</v>
      </c>
    </row>
    <row r="33" spans="1:29" ht="15">
      <c r="A33" s="428"/>
      <c r="B33" s="456"/>
      <c r="C33" s="447"/>
      <c r="D33" s="448"/>
      <c r="E33" s="2608"/>
      <c r="F33" s="448"/>
      <c r="G33" s="2608"/>
      <c r="H33" s="448"/>
      <c r="I33" s="447"/>
      <c r="J33" s="448"/>
      <c r="K33" s="613"/>
      <c r="L33" s="1140"/>
      <c r="M33" s="1131"/>
      <c r="N33" s="1131"/>
      <c r="O33" s="1139"/>
      <c r="P33" s="3258"/>
      <c r="Q33" s="1809"/>
      <c r="R33" s="774"/>
      <c r="S33" s="775"/>
      <c r="T33" s="774"/>
      <c r="U33" s="775"/>
      <c r="V33" s="774"/>
      <c r="W33" s="775"/>
      <c r="X33" s="1812"/>
      <c r="Y33" s="3258"/>
      <c r="Z33" s="1813"/>
      <c r="AA33" s="1810">
        <v>1</v>
      </c>
      <c r="AB33" s="1810">
        <v>1</v>
      </c>
      <c r="AC33" s="1810">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58"/>
      <c r="Q34" s="1809" t="str">
        <f t="shared" si="8"/>
        <v>土地级别</v>
      </c>
      <c r="R34" s="774" t="s">
        <v>17</v>
      </c>
      <c r="S34" s="775">
        <f t="shared" si="10"/>
        <v>100</v>
      </c>
      <c r="T34" s="774" t="s">
        <v>17</v>
      </c>
      <c r="U34" s="775">
        <f t="shared" si="11"/>
        <v>100</v>
      </c>
      <c r="V34" s="774" t="s">
        <v>17</v>
      </c>
      <c r="W34" s="775">
        <f t="shared" si="12"/>
        <v>100</v>
      </c>
      <c r="X34" s="1812"/>
      <c r="Y34" s="3258"/>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58"/>
      <c r="Q35" s="1809">
        <f t="shared" si="8"/>
        <v>111</v>
      </c>
      <c r="R35" s="774" t="s">
        <v>17</v>
      </c>
      <c r="S35" s="775">
        <f t="shared" si="10"/>
        <v>100</v>
      </c>
      <c r="T35" s="774" t="s">
        <v>17</v>
      </c>
      <c r="U35" s="775">
        <f t="shared" si="11"/>
        <v>100</v>
      </c>
      <c r="V35" s="774" t="s">
        <v>17</v>
      </c>
      <c r="W35" s="775">
        <f t="shared" si="12"/>
        <v>100</v>
      </c>
      <c r="X35" s="1812"/>
      <c r="Y35" s="3258"/>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81" t="s">
        <v>2562</v>
      </c>
      <c r="Q36" s="1809">
        <f t="shared" si="8"/>
        <v>111</v>
      </c>
      <c r="R36" s="774" t="s">
        <v>17</v>
      </c>
      <c r="S36" s="775">
        <f t="shared" si="10"/>
        <v>100</v>
      </c>
      <c r="T36" s="774" t="s">
        <v>17</v>
      </c>
      <c r="U36" s="775">
        <f t="shared" si="11"/>
        <v>100</v>
      </c>
      <c r="V36" s="774" t="s">
        <v>17</v>
      </c>
      <c r="W36" s="775">
        <f t="shared" si="12"/>
        <v>100</v>
      </c>
      <c r="X36" s="1812"/>
      <c r="Y36" s="3262" t="s">
        <v>2562</v>
      </c>
      <c r="Z36" s="1813">
        <f t="shared" si="13"/>
        <v>111</v>
      </c>
      <c r="AA36" s="1810">
        <f t="shared" si="3"/>
        <v>1</v>
      </c>
      <c r="AB36" s="1810">
        <f t="shared" si="4"/>
        <v>1</v>
      </c>
      <c r="AC36" s="1810">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62"/>
      <c r="Q37" s="1809">
        <f t="shared" si="8"/>
        <v>111</v>
      </c>
      <c r="R37" s="777" t="s">
        <v>17</v>
      </c>
      <c r="S37" s="778">
        <f t="shared" si="10"/>
        <v>100</v>
      </c>
      <c r="T37" s="777" t="s">
        <v>17</v>
      </c>
      <c r="U37" s="778">
        <f t="shared" si="11"/>
        <v>100</v>
      </c>
      <c r="V37" s="777" t="s">
        <v>17</v>
      </c>
      <c r="W37" s="778">
        <f t="shared" si="12"/>
        <v>100</v>
      </c>
      <c r="X37" s="779"/>
      <c r="Y37" s="3262"/>
      <c r="Z37" s="780">
        <f t="shared" si="13"/>
        <v>111</v>
      </c>
      <c r="AA37" s="1810">
        <f t="shared" si="3"/>
        <v>1</v>
      </c>
      <c r="AB37" s="1810">
        <f t="shared" si="4"/>
        <v>1</v>
      </c>
      <c r="AC37" s="1810">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62"/>
      <c r="Q38" s="1809" t="str">
        <f>B38</f>
        <v>宗地面积</v>
      </c>
      <c r="R38" s="774" t="s">
        <v>17</v>
      </c>
      <c r="S38" s="775" t="e">
        <f t="shared" si="10"/>
        <v>#N/A</v>
      </c>
      <c r="T38" s="774" t="s">
        <v>17</v>
      </c>
      <c r="U38" s="775" t="e">
        <f t="shared" si="11"/>
        <v>#N/A</v>
      </c>
      <c r="V38" s="774" t="s">
        <v>17</v>
      </c>
      <c r="W38" s="775" t="e">
        <f t="shared" si="12"/>
        <v>#N/A</v>
      </c>
      <c r="X38" s="1812"/>
      <c r="Y38" s="3262"/>
      <c r="Z38" s="1813" t="str">
        <f t="shared" si="13"/>
        <v>宗地面积</v>
      </c>
      <c r="AA38" s="1810" t="e">
        <f t="shared" si="3"/>
        <v>#N/A</v>
      </c>
      <c r="AB38" s="1810" t="e">
        <f t="shared" si="4"/>
        <v>#N/A</v>
      </c>
      <c r="AC38" s="1810" t="e">
        <f t="shared" si="5"/>
        <v>#N/A</v>
      </c>
    </row>
    <row r="39" spans="1:29" ht="15">
      <c r="A39" s="472"/>
      <c r="B39" s="422" t="s">
        <v>2749</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0"/>
      <c r="M39" s="1131"/>
      <c r="N39" s="1131"/>
      <c r="O39" s="1139"/>
      <c r="P39" s="3262"/>
      <c r="Q39" s="1809" t="str">
        <f t="shared" ref="Q39:Q45" si="14">B39</f>
        <v>宗地形状</v>
      </c>
      <c r="R39" s="774" t="s">
        <v>17</v>
      </c>
      <c r="S39" s="775">
        <f t="shared" si="10"/>
        <v>100</v>
      </c>
      <c r="T39" s="774" t="s">
        <v>17</v>
      </c>
      <c r="U39" s="775">
        <f t="shared" si="11"/>
        <v>100</v>
      </c>
      <c r="V39" s="774" t="s">
        <v>17</v>
      </c>
      <c r="W39" s="775">
        <f t="shared" si="12"/>
        <v>100</v>
      </c>
      <c r="X39" s="1812"/>
      <c r="Y39" s="3262"/>
      <c r="Z39" s="1813" t="str">
        <f t="shared" si="13"/>
        <v>宗地形状</v>
      </c>
      <c r="AA39" s="1810">
        <f t="shared" si="3"/>
        <v>1</v>
      </c>
      <c r="AB39" s="1810">
        <f t="shared" si="4"/>
        <v>1</v>
      </c>
      <c r="AC39" s="1810">
        <f t="shared" si="5"/>
        <v>1</v>
      </c>
    </row>
    <row r="40" spans="1:29" ht="15">
      <c r="A40" s="472"/>
      <c r="B40" s="422" t="s">
        <v>2750</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0"/>
      <c r="M40" s="1131"/>
      <c r="N40" s="1131"/>
      <c r="O40" s="1139"/>
      <c r="P40" s="3262"/>
      <c r="Q40" s="1809" t="str">
        <f t="shared" si="14"/>
        <v>临街宽度及深度</v>
      </c>
      <c r="R40" s="774" t="s">
        <v>17</v>
      </c>
      <c r="S40" s="775">
        <f t="shared" si="10"/>
        <v>100</v>
      </c>
      <c r="T40" s="774" t="s">
        <v>17</v>
      </c>
      <c r="U40" s="775">
        <f t="shared" si="11"/>
        <v>100</v>
      </c>
      <c r="V40" s="774" t="s">
        <v>17</v>
      </c>
      <c r="W40" s="775">
        <f t="shared" si="12"/>
        <v>100</v>
      </c>
      <c r="X40" s="1812"/>
      <c r="Y40" s="3262"/>
      <c r="Z40" s="1813" t="str">
        <f t="shared" si="13"/>
        <v>临街宽度及深度</v>
      </c>
      <c r="AA40" s="1810">
        <f t="shared" si="3"/>
        <v>1</v>
      </c>
      <c r="AB40" s="1810">
        <f t="shared" si="4"/>
        <v>1</v>
      </c>
      <c r="AC40" s="1810">
        <f t="shared" si="5"/>
        <v>1</v>
      </c>
    </row>
    <row r="41" spans="1:29" s="117" customFormat="1" ht="15">
      <c r="A41" s="473"/>
      <c r="B41" s="422" t="s">
        <v>2751</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2"/>
      <c r="M41" s="1133"/>
      <c r="N41" s="1133"/>
      <c r="O41" s="1134"/>
      <c r="P41" s="3262"/>
      <c r="Q41" s="1809" t="str">
        <f t="shared" si="14"/>
        <v>宗地开发程度</v>
      </c>
      <c r="R41" s="770" t="s">
        <v>17</v>
      </c>
      <c r="S41" s="771">
        <f t="shared" si="10"/>
        <v>100</v>
      </c>
      <c r="T41" s="770" t="s">
        <v>17</v>
      </c>
      <c r="U41" s="771">
        <f t="shared" si="11"/>
        <v>100</v>
      </c>
      <c r="V41" s="770" t="s">
        <v>17</v>
      </c>
      <c r="W41" s="771">
        <f t="shared" si="12"/>
        <v>100</v>
      </c>
      <c r="X41" s="772"/>
      <c r="Y41" s="3262"/>
      <c r="Z41" s="55" t="str">
        <f t="shared" si="13"/>
        <v>宗地开发程度</v>
      </c>
      <c r="AA41" s="773">
        <f t="shared" si="3"/>
        <v>1</v>
      </c>
      <c r="AB41" s="773">
        <f t="shared" si="4"/>
        <v>1</v>
      </c>
      <c r="AC41" s="773">
        <f t="shared" si="5"/>
        <v>1</v>
      </c>
    </row>
    <row r="42" spans="1:29" ht="15">
      <c r="A42" s="472"/>
      <c r="B42" s="422" t="s">
        <v>2752</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0"/>
      <c r="M42" s="1131"/>
      <c r="N42" s="1131"/>
      <c r="O42" s="1139"/>
      <c r="P42" s="3262" t="s">
        <v>2562</v>
      </c>
      <c r="Q42" s="1809" t="str">
        <f t="shared" si="14"/>
        <v>工程地质条件</v>
      </c>
      <c r="R42" s="774" t="s">
        <v>17</v>
      </c>
      <c r="S42" s="775">
        <f t="shared" si="10"/>
        <v>100</v>
      </c>
      <c r="T42" s="774" t="s">
        <v>17</v>
      </c>
      <c r="U42" s="775">
        <f t="shared" si="11"/>
        <v>100</v>
      </c>
      <c r="V42" s="774" t="s">
        <v>17</v>
      </c>
      <c r="W42" s="775">
        <f t="shared" si="12"/>
        <v>100</v>
      </c>
      <c r="X42" s="1812"/>
      <c r="Y42" s="3262" t="s">
        <v>2562</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62"/>
      <c r="Q43" s="1809">
        <f t="shared" si="14"/>
        <v>111</v>
      </c>
      <c r="R43" s="774" t="s">
        <v>17</v>
      </c>
      <c r="S43" s="775">
        <f t="shared" si="10"/>
        <v>100</v>
      </c>
      <c r="T43" s="774" t="s">
        <v>17</v>
      </c>
      <c r="U43" s="775">
        <f t="shared" si="11"/>
        <v>100</v>
      </c>
      <c r="V43" s="774" t="s">
        <v>17</v>
      </c>
      <c r="W43" s="775">
        <f t="shared" si="12"/>
        <v>100</v>
      </c>
      <c r="X43" s="1812"/>
      <c r="Y43" s="3262"/>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62"/>
      <c r="Q44" s="1809">
        <f t="shared" si="14"/>
        <v>111</v>
      </c>
      <c r="R44" s="774" t="s">
        <v>17</v>
      </c>
      <c r="S44" s="775">
        <f t="shared" si="10"/>
        <v>100</v>
      </c>
      <c r="T44" s="774" t="s">
        <v>17</v>
      </c>
      <c r="U44" s="775">
        <f t="shared" si="11"/>
        <v>100</v>
      </c>
      <c r="V44" s="774" t="s">
        <v>17</v>
      </c>
      <c r="W44" s="775">
        <f t="shared" si="12"/>
        <v>100</v>
      </c>
      <c r="X44" s="1812"/>
      <c r="Y44" s="3262"/>
      <c r="Z44" s="1813">
        <f t="shared" si="13"/>
        <v>111</v>
      </c>
      <c r="AA44" s="1810">
        <f t="shared" si="3"/>
        <v>1</v>
      </c>
      <c r="AB44" s="1810">
        <f t="shared" si="4"/>
        <v>1</v>
      </c>
      <c r="AC44" s="1810">
        <f t="shared" si="5"/>
        <v>1</v>
      </c>
    </row>
    <row r="45" spans="1:29" s="471" customFormat="1" ht="15.75" thickBot="1">
      <c r="A45" s="468"/>
      <c r="B45" s="1387">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62"/>
      <c r="Q45" s="1809">
        <f t="shared" si="14"/>
        <v>111</v>
      </c>
      <c r="R45" s="777" t="s">
        <v>17</v>
      </c>
      <c r="S45" s="778">
        <f t="shared" si="10"/>
        <v>100</v>
      </c>
      <c r="T45" s="777" t="s">
        <v>17</v>
      </c>
      <c r="U45" s="778">
        <f t="shared" si="11"/>
        <v>100</v>
      </c>
      <c r="V45" s="777" t="s">
        <v>17</v>
      </c>
      <c r="W45" s="778">
        <f t="shared" si="12"/>
        <v>100</v>
      </c>
      <c r="X45" s="779"/>
      <c r="Y45" s="3262"/>
      <c r="Z45" s="780">
        <f t="shared" si="13"/>
        <v>111</v>
      </c>
      <c r="AA45" s="1810">
        <f t="shared" si="3"/>
        <v>1</v>
      </c>
      <c r="AB45" s="1810">
        <f t="shared" si="4"/>
        <v>1</v>
      </c>
      <c r="AC45" s="1810">
        <f t="shared" si="5"/>
        <v>1</v>
      </c>
    </row>
    <row r="46" spans="1:29" ht="15">
      <c r="A46" s="479" t="s">
        <v>2717</v>
      </c>
      <c r="B46" s="2701" t="s">
        <v>2753</v>
      </c>
      <c r="C46" s="682" t="s">
        <v>1</v>
      </c>
      <c r="D46" s="481"/>
      <c r="E46" s="482"/>
      <c r="F46" s="483"/>
      <c r="G46" s="484"/>
      <c r="H46" s="485"/>
      <c r="I46" s="482"/>
      <c r="J46" s="485"/>
      <c r="K46" s="783"/>
      <c r="L46" s="1143"/>
      <c r="M46" s="1144"/>
      <c r="N46" s="1131"/>
      <c r="O46" s="1144"/>
      <c r="P46" s="3255" t="str">
        <f>A46</f>
        <v>成交单价</v>
      </c>
      <c r="Q46" s="3255"/>
      <c r="R46" s="3250">
        <f>E46</f>
        <v>0</v>
      </c>
      <c r="S46" s="3250"/>
      <c r="T46" s="3250">
        <f>G46</f>
        <v>0</v>
      </c>
      <c r="U46" s="3250"/>
      <c r="V46" s="3250">
        <f>I46</f>
        <v>0</v>
      </c>
      <c r="W46" s="3250"/>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255" t="str">
        <f>A47</f>
        <v>比较价值（元/平方米）</v>
      </c>
      <c r="Q47" s="3255"/>
      <c r="R47" s="3282" t="e">
        <f>ROUND(PRODUCT(R46,AA7:AA45),0)</f>
        <v>#DIV/0!</v>
      </c>
      <c r="S47" s="3282"/>
      <c r="T47" s="3282" t="e">
        <f>ROUND(PRODUCT(T46,AB7:AB45),0)</f>
        <v>#DIV/0!</v>
      </c>
      <c r="U47" s="3282"/>
      <c r="V47" s="3282" t="e">
        <f>ROUND(PRODUCT(V46,AC7:AC45),0)</f>
        <v>#DIV/0!</v>
      </c>
      <c r="W47" s="3282"/>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3"/>
      <c r="M48" s="1144"/>
      <c r="N48" s="1144"/>
      <c r="O48" s="1144"/>
      <c r="P48" s="3252" t="str">
        <f>A48</f>
        <v>估价对象XX用房的比较价值（楼面单价，元/平方米）</v>
      </c>
      <c r="Q48" s="3253"/>
      <c r="R48" s="3283" t="e">
        <f>ROUND(AVERAGE(R47:V47),0)</f>
        <v>#DIV/0!</v>
      </c>
      <c r="S48" s="3283"/>
      <c r="T48" s="3283"/>
      <c r="U48" s="3283"/>
      <c r="V48" s="3283"/>
      <c r="W48" s="328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2" t="s">
        <v>2757</v>
      </c>
      <c r="D55" s="2703" t="s">
        <v>2758</v>
      </c>
      <c r="E55" s="686" t="s">
        <v>2759</v>
      </c>
      <c r="F55" s="1107" t="s">
        <v>2760</v>
      </c>
      <c r="G55" s="3238" t="s">
        <v>2761</v>
      </c>
      <c r="H55" s="3284"/>
      <c r="I55" s="144" t="s">
        <v>2762</v>
      </c>
      <c r="J55" s="2704">
        <f>项目基本情况!F35</f>
        <v>0</v>
      </c>
      <c r="K55" s="2705" t="s">
        <v>2763</v>
      </c>
      <c r="L55" s="1106"/>
      <c r="M55" s="1144"/>
      <c r="N55" s="1144"/>
      <c r="O55" s="1144"/>
    </row>
    <row r="56" spans="1:15" s="692" customFormat="1">
      <c r="A56" s="688" t="s">
        <v>2764</v>
      </c>
      <c r="B56" s="689" t="e">
        <f>C48</f>
        <v>#DIV/0!</v>
      </c>
      <c r="C56" s="690">
        <v>1</v>
      </c>
      <c r="D56" s="1163">
        <v>1</v>
      </c>
      <c r="E56" s="690">
        <f>'数据-汇总表'!E8+'数据-汇总表'!E9</f>
        <v>34093.799999999996</v>
      </c>
      <c r="F56" s="1103" t="e">
        <f t="shared" ref="F56:F65" si="15">ROUND(B56*E56/10000,0)</f>
        <v>#DIV/0!</v>
      </c>
      <c r="G56" s="3237"/>
      <c r="H56" s="3255"/>
      <c r="I56" s="1108">
        <v>1</v>
      </c>
      <c r="J56" s="1111">
        <v>1</v>
      </c>
      <c r="K56" s="1145"/>
      <c r="L56" s="941"/>
      <c r="M56" s="941"/>
      <c r="N56" s="941"/>
      <c r="O56" s="941"/>
    </row>
    <row r="57" spans="1:15" s="692" customFormat="1">
      <c r="A57" s="693" t="s">
        <v>2765</v>
      </c>
      <c r="B57" s="262" t="e">
        <f>ROUND($C$48*C57*D57,0)</f>
        <v>#DIV/0!</v>
      </c>
      <c r="C57" s="200">
        <f t="shared" ref="C57:C65" si="16">IF($C$55="北京市系数",I57,J57)</f>
        <v>0.8</v>
      </c>
      <c r="D57" s="1164">
        <v>0.25</v>
      </c>
      <c r="E57" s="694"/>
      <c r="F57" s="1103" t="e">
        <f t="shared" si="15"/>
        <v>#DIV/0!</v>
      </c>
      <c r="G57" s="3285" t="s">
        <v>2766</v>
      </c>
      <c r="H57" s="1104" t="str">
        <f>项目基本情况!B37</f>
        <v>二级</v>
      </c>
      <c r="I57" s="1108">
        <f>SUMIF(修正!A45:A56,H57,修正!B45:B56)</f>
        <v>0.8</v>
      </c>
      <c r="J57" s="1112"/>
      <c r="K57" s="1144"/>
      <c r="L57" s="941"/>
      <c r="M57" s="941"/>
      <c r="N57" s="941"/>
      <c r="O57" s="941"/>
    </row>
    <row r="58" spans="1:15" s="692" customFormat="1">
      <c r="A58" s="693" t="s">
        <v>2767</v>
      </c>
      <c r="B58" s="262" t="e">
        <f t="shared" ref="B58:B65" si="17">ROUND($C$48*C58*D58,0)</f>
        <v>#DIV/0!</v>
      </c>
      <c r="C58" s="200">
        <f t="shared" si="16"/>
        <v>0.5</v>
      </c>
      <c r="D58" s="1164">
        <v>0.25</v>
      </c>
      <c r="E58" s="694"/>
      <c r="F58" s="1103" t="e">
        <f t="shared" si="15"/>
        <v>#DIV/0!</v>
      </c>
      <c r="G58" s="3285"/>
      <c r="H58" s="1104" t="str">
        <f>项目基本情况!B37</f>
        <v>二级</v>
      </c>
      <c r="I58" s="1108">
        <f>SUMIF(修正!A45:A56,H58,修正!C45:C56)</f>
        <v>0.5</v>
      </c>
      <c r="J58" s="1112"/>
      <c r="K58" s="1145"/>
      <c r="L58" s="941"/>
      <c r="M58" s="941"/>
      <c r="N58" s="941"/>
      <c r="O58" s="941"/>
    </row>
    <row r="59" spans="1:15" s="692" customFormat="1">
      <c r="A59" s="693" t="s">
        <v>2768</v>
      </c>
      <c r="B59" s="262" t="e">
        <f t="shared" si="17"/>
        <v>#DIV/0!</v>
      </c>
      <c r="C59" s="200">
        <f t="shared" si="16"/>
        <v>0.36</v>
      </c>
      <c r="D59" s="1164">
        <v>0.25</v>
      </c>
      <c r="E59" s="694"/>
      <c r="F59" s="1103" t="e">
        <f t="shared" si="15"/>
        <v>#DIV/0!</v>
      </c>
      <c r="G59" s="3285"/>
      <c r="H59" s="1104" t="str">
        <f>项目基本情况!B37</f>
        <v>二级</v>
      </c>
      <c r="I59" s="1108">
        <f>SUMIF(修正!A45:A56,H59,修正!D45:D56)</f>
        <v>0.36</v>
      </c>
      <c r="J59" s="1112"/>
      <c r="K59" s="1144"/>
      <c r="L59" s="941"/>
      <c r="M59" s="941"/>
      <c r="N59" s="941"/>
      <c r="O59" s="941"/>
    </row>
    <row r="60" spans="1:15" s="692" customFormat="1">
      <c r="A60" s="693" t="s">
        <v>2769</v>
      </c>
      <c r="B60" s="262" t="e">
        <f t="shared" si="17"/>
        <v>#DIV/0!</v>
      </c>
      <c r="C60" s="200">
        <f t="shared" si="16"/>
        <v>0.3</v>
      </c>
      <c r="D60" s="1164">
        <v>0.25</v>
      </c>
      <c r="E60" s="694"/>
      <c r="F60" s="1103" t="e">
        <f t="shared" si="15"/>
        <v>#DIV/0!</v>
      </c>
      <c r="G60" s="3285"/>
      <c r="H60" s="1104" t="str">
        <f>项目基本情况!B37</f>
        <v>二级</v>
      </c>
      <c r="I60" s="1108">
        <f>SUMIF(修正!A45:A56,H60,修正!E45:E56)</f>
        <v>0.3</v>
      </c>
      <c r="J60" s="1112"/>
      <c r="K60" s="1145"/>
      <c r="L60" s="941"/>
      <c r="M60" s="941"/>
      <c r="N60" s="941"/>
      <c r="O60" s="941"/>
    </row>
    <row r="61" spans="1:15" s="692" customFormat="1">
      <c r="A61" s="693" t="s">
        <v>2770</v>
      </c>
      <c r="B61" s="262" t="e">
        <f t="shared" si="17"/>
        <v>#DIV/0!</v>
      </c>
      <c r="C61" s="200">
        <f t="shared" si="16"/>
        <v>0</v>
      </c>
      <c r="D61" s="1164">
        <v>0.25</v>
      </c>
      <c r="E61" s="261">
        <f>'数据-汇总表'!E11</f>
        <v>0</v>
      </c>
      <c r="F61" s="1103" t="e">
        <f t="shared" si="15"/>
        <v>#DIV/0!</v>
      </c>
      <c r="G61" s="2706" t="s">
        <v>2771</v>
      </c>
      <c r="H61" s="1104">
        <f>项目基本情况!C37</f>
        <v>0</v>
      </c>
      <c r="I61" s="1108">
        <f>SUMIF(修正!A45:A56,H61,修正!F45:F56)</f>
        <v>0</v>
      </c>
      <c r="J61" s="1112"/>
      <c r="K61" s="1144"/>
      <c r="L61" s="941"/>
      <c r="M61" s="941"/>
      <c r="N61" s="941"/>
      <c r="O61" s="941"/>
    </row>
    <row r="62" spans="1:15" s="692" customFormat="1">
      <c r="A62" s="693" t="s">
        <v>2772</v>
      </c>
      <c r="B62" s="262" t="e">
        <f t="shared" si="17"/>
        <v>#DIV/0!</v>
      </c>
      <c r="C62" s="200">
        <f t="shared" si="16"/>
        <v>0</v>
      </c>
      <c r="D62" s="1164">
        <v>0.25</v>
      </c>
      <c r="E62" s="261">
        <f>'数据-汇总表'!E12</f>
        <v>0</v>
      </c>
      <c r="F62" s="1103" t="e">
        <f t="shared" si="15"/>
        <v>#DIV/0!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t="e">
        <f t="shared" si="17"/>
        <v>#DIV/0!</v>
      </c>
      <c r="C63" s="200">
        <f t="shared" si="16"/>
        <v>0</v>
      </c>
      <c r="D63" s="1164">
        <v>0.25</v>
      </c>
      <c r="E63" s="261">
        <f>'数据-汇总表'!E13</f>
        <v>0</v>
      </c>
      <c r="F63" s="1103" t="e">
        <f t="shared" si="15"/>
        <v>#DIV/0!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t="e">
        <f t="shared" si="17"/>
        <v>#DIV/0!</v>
      </c>
      <c r="C64" s="200">
        <f t="shared" si="16"/>
        <v>0.25</v>
      </c>
      <c r="D64" s="1164">
        <v>0.25</v>
      </c>
      <c r="E64" s="261">
        <f>'数据-汇总表'!E14</f>
        <v>0</v>
      </c>
      <c r="F64" s="1103" t="e">
        <f t="shared" si="15"/>
        <v>#DIV/0!</v>
      </c>
      <c r="G64" s="2706" t="s">
        <v>2766</v>
      </c>
      <c r="H64" s="1104" t="str">
        <f>项目基本情况!B37</f>
        <v>二级</v>
      </c>
      <c r="I64" s="1108">
        <f>SUMIF(修正!A45:A56,H64,修正!H45:H56)</f>
        <v>0.25</v>
      </c>
      <c r="J64" s="1112"/>
      <c r="K64" s="1145"/>
      <c r="L64" s="941"/>
      <c r="M64" s="941"/>
      <c r="N64" s="941"/>
      <c r="O64" s="941"/>
    </row>
    <row r="65" spans="1:17" s="692" customFormat="1" ht="15" thickBot="1">
      <c r="A65" s="693" t="s">
        <v>2777</v>
      </c>
      <c r="B65" s="262" t="e">
        <f t="shared" si="17"/>
        <v>#DIV/0!</v>
      </c>
      <c r="C65" s="200">
        <f t="shared" si="16"/>
        <v>0</v>
      </c>
      <c r="D65" s="1164">
        <v>0.25</v>
      </c>
      <c r="E65" s="261">
        <f>'数据-汇总表'!E15</f>
        <v>0</v>
      </c>
      <c r="F65" s="1103" t="e">
        <f t="shared" si="15"/>
        <v>#DIV/0!</v>
      </c>
      <c r="G65" s="2707" t="s">
        <v>2771</v>
      </c>
      <c r="H65" s="1114">
        <f>项目基本情况!C37</f>
        <v>0</v>
      </c>
      <c r="I65" s="1110">
        <f>SUMIF(修正!A45:A56,H65,修正!H45:H56)</f>
        <v>0</v>
      </c>
      <c r="J65" s="1113"/>
      <c r="K65" s="1144"/>
      <c r="L65" s="941"/>
      <c r="M65" s="941"/>
      <c r="N65" s="941"/>
      <c r="O65" s="941"/>
    </row>
    <row r="66" spans="1:17" s="692" customFormat="1" ht="13.5" thickBot="1">
      <c r="A66" s="695" t="s">
        <v>2778</v>
      </c>
      <c r="B66" s="696" t="s">
        <v>28</v>
      </c>
      <c r="C66" s="696" t="s">
        <v>29</v>
      </c>
      <c r="D66" s="696" t="s">
        <v>1025</v>
      </c>
      <c r="E66" s="696">
        <f>IF(B46="楼面地价",SUM(E56:E65),'数据-汇总表'!D3)</f>
        <v>34093.799999999996</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08" t="s">
        <v>2779</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09" t="s">
        <v>2780</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38" t="s">
        <v>2643</v>
      </c>
      <c r="D4" s="3239"/>
      <c r="E4" s="3240" t="s">
        <v>2644</v>
      </c>
      <c r="F4" s="3241"/>
      <c r="G4" s="3238" t="s">
        <v>2645</v>
      </c>
      <c r="H4" s="3239"/>
      <c r="I4" s="3238" t="s">
        <v>2646</v>
      </c>
      <c r="J4" s="3239"/>
      <c r="K4" s="610" t="s">
        <v>2647</v>
      </c>
      <c r="L4" s="1130"/>
      <c r="M4" s="1131"/>
      <c r="N4" s="1131"/>
      <c r="O4" s="1131"/>
      <c r="P4" s="3242" t="s">
        <v>2648</v>
      </c>
      <c r="Q4" s="3243"/>
      <c r="R4" s="3225" t="s">
        <v>2644</v>
      </c>
      <c r="S4" s="3226"/>
      <c r="T4" s="3225" t="s">
        <v>2645</v>
      </c>
      <c r="U4" s="3226"/>
      <c r="V4" s="3250" t="s">
        <v>2646</v>
      </c>
      <c r="W4" s="3250"/>
      <c r="X4" s="1812"/>
      <c r="Y4" s="3225" t="s">
        <v>2648</v>
      </c>
      <c r="Z4" s="3226"/>
      <c r="AA4" s="3220" t="s">
        <v>2644</v>
      </c>
      <c r="AB4" s="3221" t="s">
        <v>2645</v>
      </c>
      <c r="AC4" s="3220" t="s">
        <v>2646</v>
      </c>
    </row>
    <row r="5" spans="1:29" ht="15">
      <c r="A5" s="404"/>
      <c r="B5" s="405"/>
      <c r="C5" s="3231" t="s">
        <v>2539</v>
      </c>
      <c r="D5" s="3232"/>
      <c r="E5" s="3229" t="s">
        <v>2540</v>
      </c>
      <c r="F5" s="3230"/>
      <c r="G5" s="3231" t="s">
        <v>2541</v>
      </c>
      <c r="H5" s="3232"/>
      <c r="I5" s="3231" t="s">
        <v>2542</v>
      </c>
      <c r="J5" s="3232"/>
      <c r="K5" s="610"/>
      <c r="L5" s="1130"/>
      <c r="M5" s="1131"/>
      <c r="N5" s="1131"/>
      <c r="O5" s="1131"/>
      <c r="P5" s="3244"/>
      <c r="Q5" s="3245"/>
      <c r="R5" s="3227"/>
      <c r="S5" s="3228"/>
      <c r="T5" s="3227"/>
      <c r="U5" s="3228"/>
      <c r="V5" s="3250"/>
      <c r="W5" s="3250"/>
      <c r="X5" s="1812"/>
      <c r="Y5" s="3227"/>
      <c r="Z5" s="3228"/>
      <c r="AA5" s="3221"/>
      <c r="AB5" s="3221"/>
      <c r="AC5" s="3221"/>
    </row>
    <row r="6" spans="1:29" ht="15.75" thickBot="1">
      <c r="A6" s="406"/>
      <c r="B6" s="407"/>
      <c r="C6" s="3286" t="s">
        <v>2794</v>
      </c>
      <c r="D6" s="3287"/>
      <c r="E6" s="3288" t="s">
        <v>2794</v>
      </c>
      <c r="F6" s="3289"/>
      <c r="G6" s="3286" t="s">
        <v>2794</v>
      </c>
      <c r="H6" s="3287"/>
      <c r="I6" s="3286" t="s">
        <v>2794</v>
      </c>
      <c r="J6" s="3287"/>
      <c r="K6" s="610" t="s">
        <v>2544</v>
      </c>
      <c r="L6" s="1130"/>
      <c r="M6" s="1131"/>
      <c r="N6" s="1131"/>
      <c r="O6" s="1131"/>
      <c r="P6" s="3246"/>
      <c r="Q6" s="3247"/>
      <c r="R6" s="3227"/>
      <c r="S6" s="3228"/>
      <c r="T6" s="3248"/>
      <c r="U6" s="3249"/>
      <c r="V6" s="3250"/>
      <c r="W6" s="3250"/>
      <c r="X6" s="1812"/>
      <c r="Y6" s="3248"/>
      <c r="Z6" s="3249"/>
      <c r="AA6" s="3222"/>
      <c r="AB6" s="3222"/>
      <c r="AC6" s="3222"/>
    </row>
    <row r="7" spans="1:29" s="117" customFormat="1" ht="15.75" thickBot="1">
      <c r="A7" s="408" t="s">
        <v>2545</v>
      </c>
      <c r="B7" s="409"/>
      <c r="C7" s="410">
        <f>'数据-取费表'!B2</f>
        <v>43902</v>
      </c>
      <c r="D7" s="411">
        <v>100</v>
      </c>
      <c r="E7" s="412"/>
      <c r="F7" s="413">
        <f>SUMIF(65:65,YEAR(E7)&amp;"-"&amp;INT((MONTH(E7)+2)/3),66:66)</f>
        <v>0</v>
      </c>
      <c r="G7" s="2693"/>
      <c r="H7" s="411">
        <f>SUMIF(65:65,YEAR(G7)&amp;"-"&amp;INT((MONTH(G7)+2)/3),66:66)</f>
        <v>0</v>
      </c>
      <c r="I7" s="2693"/>
      <c r="J7" s="411">
        <f>SUMIF(65:65,YEAR(I7)&amp;"-"&amp;INT((MONTH(I7)+2)/3),66:66)</f>
        <v>0</v>
      </c>
      <c r="K7" s="611"/>
      <c r="L7" s="1132"/>
      <c r="M7" s="1133"/>
      <c r="N7" s="1133"/>
      <c r="O7" s="1133"/>
      <c r="P7" s="3223" t="s">
        <v>2546</v>
      </c>
      <c r="Q7" s="3251"/>
      <c r="R7" s="770" t="s">
        <v>17</v>
      </c>
      <c r="S7" s="771">
        <f t="shared" ref="S7:S15" si="0">F7</f>
        <v>0</v>
      </c>
      <c r="T7" s="770" t="s">
        <v>17</v>
      </c>
      <c r="U7" s="771">
        <f t="shared" ref="U7:U15" si="1">H7</f>
        <v>0</v>
      </c>
      <c r="V7" s="770" t="s">
        <v>17</v>
      </c>
      <c r="W7" s="771">
        <f t="shared" ref="W7:W15" si="2">J7</f>
        <v>0</v>
      </c>
      <c r="X7" s="772"/>
      <c r="Y7" s="3223" t="s">
        <v>2546</v>
      </c>
      <c r="Z7" s="3224"/>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3" t="s">
        <v>2549</v>
      </c>
      <c r="Q8" s="3224"/>
      <c r="R8" s="770" t="s">
        <v>17</v>
      </c>
      <c r="S8" s="771">
        <f t="shared" si="0"/>
        <v>0</v>
      </c>
      <c r="T8" s="770" t="s">
        <v>17</v>
      </c>
      <c r="U8" s="771">
        <f t="shared" si="1"/>
        <v>0</v>
      </c>
      <c r="V8" s="770" t="s">
        <v>17</v>
      </c>
      <c r="W8" s="771">
        <f t="shared" si="2"/>
        <v>0</v>
      </c>
      <c r="X8" s="772"/>
      <c r="Y8" s="3223" t="s">
        <v>2549</v>
      </c>
      <c r="Z8" s="3224"/>
      <c r="AA8" s="773" t="e">
        <f t="shared" ref="AA8:AA40" si="3">D8/F8</f>
        <v>#DIV/0!</v>
      </c>
      <c r="AB8" s="773" t="e">
        <f t="shared" ref="AB8:AB40" si="4">D8/H8</f>
        <v>#DIV/0!</v>
      </c>
      <c r="AC8" s="773" t="e">
        <f t="shared" ref="AC8:AC40" si="5">D8/J8</f>
        <v>#DIV/0!</v>
      </c>
    </row>
    <row r="9" spans="1:29" s="117" customFormat="1">
      <c r="A9" s="415" t="s">
        <v>2550</v>
      </c>
      <c r="B9" s="71" t="s">
        <v>2551</v>
      </c>
      <c r="C9" s="2696"/>
      <c r="D9" s="135">
        <v>100</v>
      </c>
      <c r="E9" s="2696"/>
      <c r="F9" s="135">
        <f>SUMIF(70:70,E9,71:71)-SUMIF(70:70,C9,71:71)+100</f>
        <v>100</v>
      </c>
      <c r="G9" s="2696"/>
      <c r="H9" s="135">
        <f>SUMIF(70:70,G9,71:71)-SUMIF(70:70,C9,71:71)+100</f>
        <v>100</v>
      </c>
      <c r="I9" s="2696"/>
      <c r="J9" s="135">
        <f>SUMIF(70:70,I9,71:71)-SUMIF(70:70,C9,71:71)+100</f>
        <v>100</v>
      </c>
      <c r="K9" s="611"/>
      <c r="L9" s="1132"/>
      <c r="M9" s="1133"/>
      <c r="N9" s="1133"/>
      <c r="O9" s="1134"/>
      <c r="P9" s="3255" t="s">
        <v>2552</v>
      </c>
      <c r="Q9" s="1794" t="str">
        <f t="shared" ref="Q9:Q15" si="6">B9</f>
        <v>用途</v>
      </c>
      <c r="R9" s="770" t="s">
        <v>17</v>
      </c>
      <c r="S9" s="771">
        <f t="shared" si="0"/>
        <v>100</v>
      </c>
      <c r="T9" s="770" t="s">
        <v>17</v>
      </c>
      <c r="U9" s="771">
        <f t="shared" si="1"/>
        <v>100</v>
      </c>
      <c r="V9" s="770" t="s">
        <v>17</v>
      </c>
      <c r="W9" s="771">
        <f t="shared" si="2"/>
        <v>100</v>
      </c>
      <c r="X9" s="772"/>
      <c r="Y9" s="3047"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110</v>
      </c>
      <c r="G10" s="432"/>
      <c r="H10" s="136">
        <f>ROUND(100/'数据-取费表'!G16,0)</f>
        <v>110</v>
      </c>
      <c r="I10" s="432"/>
      <c r="J10" s="136">
        <f>ROUND(100/'数据-取费表'!G16,0)</f>
        <v>110</v>
      </c>
      <c r="K10" s="672"/>
      <c r="L10" s="1135"/>
      <c r="M10" s="1136"/>
      <c r="N10" s="1136"/>
      <c r="O10" s="1137"/>
      <c r="P10" s="3255"/>
      <c r="Q10" s="1794" t="str">
        <f t="shared" si="6"/>
        <v>土地使用年限（年）</v>
      </c>
      <c r="R10" s="770" t="s">
        <v>17</v>
      </c>
      <c r="S10" s="771">
        <f t="shared" si="0"/>
        <v>110</v>
      </c>
      <c r="T10" s="770" t="s">
        <v>17</v>
      </c>
      <c r="U10" s="771">
        <f t="shared" si="1"/>
        <v>110</v>
      </c>
      <c r="V10" s="770" t="s">
        <v>17</v>
      </c>
      <c r="W10" s="771">
        <f t="shared" si="2"/>
        <v>110</v>
      </c>
      <c r="X10" s="772"/>
      <c r="Y10" s="3047"/>
      <c r="Z10" s="55" t="str">
        <f t="shared" si="7"/>
        <v>土地使用年限（年）</v>
      </c>
      <c r="AA10" s="773">
        <f t="shared" si="3"/>
        <v>0.90909090909090906</v>
      </c>
      <c r="AB10" s="773">
        <f t="shared" si="4"/>
        <v>0.90909090909090906</v>
      </c>
      <c r="AC10" s="773">
        <f t="shared" si="5"/>
        <v>0.90909090909090906</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55"/>
      <c r="Q11" s="1794"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55"/>
      <c r="Q12" s="1794">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55"/>
      <c r="Q13" s="1794">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55"/>
      <c r="Q14" s="1794">
        <f t="shared" si="6"/>
        <v>111</v>
      </c>
      <c r="R14" s="770" t="s">
        <v>17</v>
      </c>
      <c r="S14" s="771">
        <f t="shared" si="0"/>
        <v>100</v>
      </c>
      <c r="T14" s="770" t="s">
        <v>17</v>
      </c>
      <c r="U14" s="771">
        <f t="shared" si="1"/>
        <v>100</v>
      </c>
      <c r="V14" s="770" t="s">
        <v>17</v>
      </c>
      <c r="W14" s="771">
        <f t="shared" si="2"/>
        <v>100</v>
      </c>
      <c r="X14" s="772"/>
      <c r="Y14" s="3047"/>
      <c r="Z14" s="55">
        <f t="shared" si="7"/>
        <v>111</v>
      </c>
      <c r="AA14" s="773">
        <f t="shared" si="3"/>
        <v>1</v>
      </c>
      <c r="AB14" s="773">
        <f t="shared" si="4"/>
        <v>1</v>
      </c>
      <c r="AC14" s="773">
        <f t="shared" si="5"/>
        <v>1</v>
      </c>
    </row>
    <row r="15" spans="1:29" ht="57">
      <c r="A15" s="440" t="s">
        <v>2556</v>
      </c>
      <c r="B15" s="629" t="s">
        <v>2795</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57" t="s">
        <v>2557</v>
      </c>
      <c r="Q15" s="1809" t="str">
        <f t="shared" si="6"/>
        <v>产业集聚程度</v>
      </c>
      <c r="R15" s="774" t="s">
        <v>17</v>
      </c>
      <c r="S15" s="775">
        <f t="shared" si="0"/>
        <v>100</v>
      </c>
      <c r="T15" s="774" t="s">
        <v>17</v>
      </c>
      <c r="U15" s="775">
        <f t="shared" si="1"/>
        <v>100</v>
      </c>
      <c r="V15" s="774" t="s">
        <v>17</v>
      </c>
      <c r="W15" s="775">
        <f t="shared" si="2"/>
        <v>100</v>
      </c>
      <c r="X15" s="1812"/>
      <c r="Y15" s="3257" t="s">
        <v>2557</v>
      </c>
      <c r="Z15" s="1813" t="str">
        <f t="shared" si="7"/>
        <v>产业集聚程度</v>
      </c>
      <c r="AA15" s="1810">
        <f t="shared" si="3"/>
        <v>1</v>
      </c>
      <c r="AB15" s="1810">
        <f t="shared" si="4"/>
        <v>1</v>
      </c>
      <c r="AC15" s="1810">
        <f t="shared" si="5"/>
        <v>1</v>
      </c>
    </row>
    <row r="16" spans="1:29" ht="15">
      <c r="A16" s="428"/>
      <c r="B16" s="630"/>
      <c r="C16" s="447"/>
      <c r="D16" s="448"/>
      <c r="E16" s="2608"/>
      <c r="F16" s="448"/>
      <c r="G16" s="2608"/>
      <c r="H16" s="450"/>
      <c r="I16" s="2608"/>
      <c r="J16" s="448"/>
      <c r="K16" s="672"/>
      <c r="L16" s="1140"/>
      <c r="M16" s="1131"/>
      <c r="N16" s="1131"/>
      <c r="O16" s="1139"/>
      <c r="P16" s="3258"/>
      <c r="Q16" s="1809"/>
      <c r="R16" s="774"/>
      <c r="S16" s="775"/>
      <c r="T16" s="774"/>
      <c r="U16" s="775"/>
      <c r="V16" s="774"/>
      <c r="W16" s="775"/>
      <c r="X16" s="1812"/>
      <c r="Y16" s="3258"/>
      <c r="Z16" s="1813"/>
      <c r="AA16" s="1810">
        <v>1</v>
      </c>
      <c r="AB16" s="1810">
        <v>1</v>
      </c>
      <c r="AC16" s="1810">
        <v>1</v>
      </c>
    </row>
    <row r="17" spans="1:29" ht="85.5">
      <c r="A17" s="428"/>
      <c r="B17" s="631" t="s">
        <v>2706</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58"/>
      <c r="Q17" s="1809" t="str">
        <f>B17</f>
        <v>交通便捷度</v>
      </c>
      <c r="R17" s="774" t="s">
        <v>17</v>
      </c>
      <c r="S17" s="775">
        <f>F17</f>
        <v>100</v>
      </c>
      <c r="T17" s="774" t="s">
        <v>17</v>
      </c>
      <c r="U17" s="775">
        <f>H17</f>
        <v>100</v>
      </c>
      <c r="V17" s="774" t="s">
        <v>17</v>
      </c>
      <c r="W17" s="775">
        <f>J17</f>
        <v>100</v>
      </c>
      <c r="X17" s="1812"/>
      <c r="Y17" s="3258"/>
      <c r="Z17" s="1813" t="str">
        <f>Q17</f>
        <v>交通便捷度</v>
      </c>
      <c r="AA17" s="1810">
        <f t="shared" si="3"/>
        <v>1</v>
      </c>
      <c r="AB17" s="1810">
        <f t="shared" si="4"/>
        <v>1</v>
      </c>
      <c r="AC17" s="1810">
        <f t="shared" si="5"/>
        <v>1</v>
      </c>
    </row>
    <row r="18" spans="1:29" ht="15">
      <c r="A18" s="428"/>
      <c r="B18" s="632"/>
      <c r="C18" s="447"/>
      <c r="D18" s="448"/>
      <c r="E18" s="2602"/>
      <c r="F18" s="448"/>
      <c r="G18" s="2602"/>
      <c r="H18" s="448"/>
      <c r="I18" s="2601"/>
      <c r="J18" s="448"/>
      <c r="K18" s="672"/>
      <c r="L18" s="1140"/>
      <c r="M18" s="1131"/>
      <c r="N18" s="1131"/>
      <c r="O18" s="1139"/>
      <c r="P18" s="3258"/>
      <c r="Q18" s="1809"/>
      <c r="R18" s="774"/>
      <c r="S18" s="775"/>
      <c r="T18" s="774"/>
      <c r="U18" s="775"/>
      <c r="V18" s="774"/>
      <c r="W18" s="775"/>
      <c r="X18" s="1812"/>
      <c r="Y18" s="3258"/>
      <c r="Z18" s="1813"/>
      <c r="AA18" s="1810">
        <v>1</v>
      </c>
      <c r="AB18" s="1810">
        <v>1</v>
      </c>
      <c r="AC18" s="1810">
        <v>1</v>
      </c>
    </row>
    <row r="19" spans="1:29" ht="15">
      <c r="A19" s="428"/>
      <c r="B19" s="631" t="s">
        <v>2745</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58"/>
      <c r="Q19" s="1809" t="str">
        <f t="shared" ref="Q19:Q33" si="8">B19</f>
        <v>区域土地利用方向</v>
      </c>
      <c r="R19" s="774" t="s">
        <v>17</v>
      </c>
      <c r="S19" s="775">
        <f>F19</f>
        <v>100</v>
      </c>
      <c r="T19" s="774" t="s">
        <v>17</v>
      </c>
      <c r="U19" s="775">
        <f>H19</f>
        <v>100</v>
      </c>
      <c r="V19" s="774" t="s">
        <v>17</v>
      </c>
      <c r="W19" s="775">
        <f>J19</f>
        <v>100</v>
      </c>
      <c r="X19" s="1812"/>
      <c r="Y19" s="3258"/>
      <c r="Z19" s="1813" t="str">
        <f>Q19</f>
        <v>区域土地利用方向</v>
      </c>
      <c r="AA19" s="1810">
        <f t="shared" si="3"/>
        <v>1</v>
      </c>
      <c r="AB19" s="1810">
        <f t="shared" si="4"/>
        <v>1</v>
      </c>
      <c r="AC19" s="1810">
        <f t="shared" si="5"/>
        <v>1</v>
      </c>
    </row>
    <row r="20" spans="1:29" ht="15">
      <c r="A20" s="404"/>
      <c r="B20" s="632"/>
      <c r="C20" s="447"/>
      <c r="D20" s="448"/>
      <c r="E20" s="2602"/>
      <c r="F20" s="448"/>
      <c r="G20" s="2602"/>
      <c r="H20" s="448"/>
      <c r="I20" s="2602"/>
      <c r="J20" s="448"/>
      <c r="K20" s="812"/>
      <c r="L20" s="1140"/>
      <c r="M20" s="1131"/>
      <c r="N20" s="1131"/>
      <c r="O20" s="1139"/>
      <c r="P20" s="3258"/>
      <c r="Q20" s="1809"/>
      <c r="R20" s="774"/>
      <c r="S20" s="775"/>
      <c r="T20" s="774"/>
      <c r="U20" s="775"/>
      <c r="V20" s="774"/>
      <c r="W20" s="775"/>
      <c r="X20" s="1812"/>
      <c r="Y20" s="3258"/>
      <c r="Z20" s="1813"/>
      <c r="AA20" s="1810"/>
      <c r="AB20" s="1810"/>
      <c r="AC20" s="1810"/>
    </row>
    <row r="21" spans="1:29" ht="71.25">
      <c r="A21" s="404"/>
      <c r="B21" s="631" t="s">
        <v>2796</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58"/>
      <c r="Q21" s="1809" t="str">
        <f t="shared" si="8"/>
        <v>环境状况</v>
      </c>
      <c r="R21" s="774" t="s">
        <v>17</v>
      </c>
      <c r="S21" s="775">
        <f>F21</f>
        <v>100</v>
      </c>
      <c r="T21" s="774" t="s">
        <v>17</v>
      </c>
      <c r="U21" s="775">
        <f>H21</f>
        <v>100</v>
      </c>
      <c r="V21" s="774" t="s">
        <v>17</v>
      </c>
      <c r="W21" s="775">
        <f>J21</f>
        <v>100</v>
      </c>
      <c r="X21" s="1812"/>
      <c r="Y21" s="3258"/>
      <c r="Z21" s="1813" t="str">
        <f>Q21</f>
        <v>环境状况</v>
      </c>
      <c r="AA21" s="1810">
        <f t="shared" si="3"/>
        <v>1</v>
      </c>
      <c r="AB21" s="1810">
        <f t="shared" si="4"/>
        <v>1</v>
      </c>
      <c r="AC21" s="1810">
        <f t="shared" si="5"/>
        <v>1</v>
      </c>
    </row>
    <row r="22" spans="1:29" ht="15">
      <c r="A22" s="404"/>
      <c r="B22" s="632"/>
      <c r="C22" s="447"/>
      <c r="D22" s="448"/>
      <c r="E22" s="2608"/>
      <c r="F22" s="448"/>
      <c r="G22" s="2608"/>
      <c r="H22" s="448"/>
      <c r="I22" s="447"/>
      <c r="J22" s="448"/>
      <c r="K22" s="672"/>
      <c r="L22" s="1140"/>
      <c r="M22" s="1131"/>
      <c r="N22" s="1131"/>
      <c r="O22" s="1139"/>
      <c r="P22" s="3258"/>
      <c r="Q22" s="1809"/>
      <c r="R22" s="774"/>
      <c r="S22" s="775"/>
      <c r="T22" s="774"/>
      <c r="U22" s="775"/>
      <c r="V22" s="774"/>
      <c r="W22" s="775"/>
      <c r="X22" s="1812"/>
      <c r="Y22" s="3258"/>
      <c r="Z22" s="1813"/>
      <c r="AA22" s="1810">
        <v>1</v>
      </c>
      <c r="AB22" s="1810">
        <v>1</v>
      </c>
      <c r="AC22" s="1810">
        <v>1</v>
      </c>
    </row>
    <row r="23" spans="1:29" s="117" customFormat="1" ht="42.75">
      <c r="A23" s="649"/>
      <c r="B23" s="633" t="s">
        <v>2651</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58"/>
      <c r="Q23" s="1794" t="str">
        <f t="shared" si="8"/>
        <v>公共配套设施</v>
      </c>
      <c r="R23" s="770" t="s">
        <v>17</v>
      </c>
      <c r="S23" s="771">
        <f>F23</f>
        <v>100</v>
      </c>
      <c r="T23" s="770" t="s">
        <v>17</v>
      </c>
      <c r="U23" s="771">
        <f>H23</f>
        <v>100</v>
      </c>
      <c r="V23" s="770" t="s">
        <v>17</v>
      </c>
      <c r="W23" s="771">
        <f>J23</f>
        <v>100</v>
      </c>
      <c r="X23" s="772"/>
      <c r="Y23" s="3258"/>
      <c r="Z23" s="55" t="str">
        <f>Q23</f>
        <v>公共配套设施</v>
      </c>
      <c r="AA23" s="1810">
        <f>D23/F23</f>
        <v>1</v>
      </c>
      <c r="AB23" s="1810">
        <f>D23/H23</f>
        <v>1</v>
      </c>
      <c r="AC23" s="1810">
        <f>D23/J23</f>
        <v>1</v>
      </c>
    </row>
    <row r="24" spans="1:29" s="117" customFormat="1" ht="15">
      <c r="A24" s="649"/>
      <c r="B24" s="632"/>
      <c r="C24" s="2697"/>
      <c r="D24" s="448"/>
      <c r="E24" s="2608"/>
      <c r="F24" s="448"/>
      <c r="G24" s="2608"/>
      <c r="H24" s="448"/>
      <c r="I24" s="447"/>
      <c r="J24" s="448"/>
      <c r="K24" s="672"/>
      <c r="L24" s="1132"/>
      <c r="M24" s="1133"/>
      <c r="N24" s="1133"/>
      <c r="O24" s="1134"/>
      <c r="P24" s="3258"/>
      <c r="Q24" s="1794"/>
      <c r="R24" s="770"/>
      <c r="S24" s="771"/>
      <c r="T24" s="770"/>
      <c r="U24" s="771"/>
      <c r="V24" s="770"/>
      <c r="W24" s="771"/>
      <c r="X24" s="772"/>
      <c r="Y24" s="3258"/>
      <c r="Z24" s="55"/>
      <c r="AA24" s="773">
        <v>1</v>
      </c>
      <c r="AB24" s="773">
        <v>1</v>
      </c>
      <c r="AC24" s="773">
        <v>1</v>
      </c>
    </row>
    <row r="25" spans="1:29" s="117" customFormat="1" ht="28.5">
      <c r="A25" s="649"/>
      <c r="B25" s="633" t="s">
        <v>2652</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58"/>
      <c r="Q25" s="1794" t="str">
        <f t="shared" ref="Q25" si="9">B25</f>
        <v>基础设施水平</v>
      </c>
      <c r="R25" s="770" t="s">
        <v>17</v>
      </c>
      <c r="S25" s="771">
        <f>F25</f>
        <v>100</v>
      </c>
      <c r="T25" s="770" t="s">
        <v>17</v>
      </c>
      <c r="U25" s="771">
        <f>H25</f>
        <v>100</v>
      </c>
      <c r="V25" s="770" t="s">
        <v>17</v>
      </c>
      <c r="W25" s="771">
        <f>J25</f>
        <v>100</v>
      </c>
      <c r="X25" s="772"/>
      <c r="Y25" s="3258"/>
      <c r="Z25" s="55" t="str">
        <f>Q25</f>
        <v>基础设施水平</v>
      </c>
      <c r="AA25" s="1810">
        <f>D25/F25</f>
        <v>1</v>
      </c>
      <c r="AB25" s="1810">
        <f>D25/H25</f>
        <v>1</v>
      </c>
      <c r="AC25" s="1810">
        <f>D25/J25</f>
        <v>1</v>
      </c>
    </row>
    <row r="26" spans="1:29" s="117" customFormat="1" ht="15">
      <c r="A26" s="649"/>
      <c r="B26" s="632"/>
      <c r="C26" s="2697"/>
      <c r="D26" s="448"/>
      <c r="E26" s="2698"/>
      <c r="F26" s="448"/>
      <c r="G26" s="2698"/>
      <c r="H26" s="448"/>
      <c r="I26" s="2698"/>
      <c r="J26" s="448"/>
      <c r="K26" s="672"/>
      <c r="L26" s="1132"/>
      <c r="M26" s="1133"/>
      <c r="N26" s="1133"/>
      <c r="O26" s="1134"/>
      <c r="P26" s="3258"/>
      <c r="Q26" s="1794"/>
      <c r="R26" s="770"/>
      <c r="S26" s="771"/>
      <c r="T26" s="770"/>
      <c r="U26" s="771"/>
      <c r="V26" s="770"/>
      <c r="W26" s="771"/>
      <c r="X26" s="772"/>
      <c r="Y26" s="3258"/>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58"/>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58"/>
      <c r="Z27" s="1813" t="str">
        <f t="shared" ref="Z27:Z40" si="13">Q27</f>
        <v>临街状况</v>
      </c>
      <c r="AA27" s="1810">
        <f t="shared" si="3"/>
        <v>1</v>
      </c>
      <c r="AB27" s="1810">
        <f t="shared" si="4"/>
        <v>1</v>
      </c>
      <c r="AC27" s="1810">
        <f t="shared" si="5"/>
        <v>1</v>
      </c>
    </row>
    <row r="28" spans="1:29" ht="27">
      <c r="A28" s="428"/>
      <c r="B28" s="633" t="s">
        <v>2688</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58"/>
      <c r="Q28" s="1809" t="str">
        <f t="shared" si="8"/>
        <v>毗邻道路的类型与等级</v>
      </c>
      <c r="R28" s="774" t="s">
        <v>17</v>
      </c>
      <c r="S28" s="775">
        <f t="shared" si="10"/>
        <v>100</v>
      </c>
      <c r="T28" s="774" t="s">
        <v>17</v>
      </c>
      <c r="U28" s="775">
        <f t="shared" si="11"/>
        <v>100</v>
      </c>
      <c r="V28" s="774" t="s">
        <v>17</v>
      </c>
      <c r="W28" s="775">
        <f t="shared" si="12"/>
        <v>100</v>
      </c>
      <c r="X28" s="1812"/>
      <c r="Y28" s="3258"/>
      <c r="Z28" s="1813" t="str">
        <f t="shared" si="13"/>
        <v>毗邻道路的类型与等级</v>
      </c>
      <c r="AA28" s="1810">
        <f t="shared" si="3"/>
        <v>1</v>
      </c>
      <c r="AB28" s="1810">
        <f t="shared" si="4"/>
        <v>1</v>
      </c>
      <c r="AC28" s="1810">
        <f t="shared" si="5"/>
        <v>1</v>
      </c>
    </row>
    <row r="29" spans="1:29" ht="15">
      <c r="A29" s="428"/>
      <c r="B29" s="632"/>
      <c r="C29" s="447"/>
      <c r="D29" s="448"/>
      <c r="E29" s="2608"/>
      <c r="F29" s="448"/>
      <c r="G29" s="2608"/>
      <c r="H29" s="448"/>
      <c r="I29" s="2608"/>
      <c r="J29" s="448"/>
      <c r="K29" s="613"/>
      <c r="L29" s="1140"/>
      <c r="M29" s="1131"/>
      <c r="N29" s="1131"/>
      <c r="O29" s="1139"/>
      <c r="P29" s="3258"/>
      <c r="Q29" s="1809"/>
      <c r="R29" s="774"/>
      <c r="S29" s="775"/>
      <c r="T29" s="774"/>
      <c r="U29" s="775"/>
      <c r="V29" s="774"/>
      <c r="W29" s="775"/>
      <c r="X29" s="1812"/>
      <c r="Y29" s="3258"/>
      <c r="Z29" s="1813"/>
      <c r="AA29" s="1810">
        <v>1</v>
      </c>
      <c r="AB29" s="1810">
        <v>1</v>
      </c>
      <c r="AC29" s="1810">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58"/>
      <c r="Q30" s="1809" t="str">
        <f t="shared" si="8"/>
        <v>土地级别</v>
      </c>
      <c r="R30" s="774" t="s">
        <v>17</v>
      </c>
      <c r="S30" s="775">
        <f t="shared" si="10"/>
        <v>100</v>
      </c>
      <c r="T30" s="774" t="s">
        <v>17</v>
      </c>
      <c r="U30" s="775">
        <f t="shared" si="11"/>
        <v>100</v>
      </c>
      <c r="V30" s="774" t="s">
        <v>17</v>
      </c>
      <c r="W30" s="775">
        <f t="shared" si="12"/>
        <v>100</v>
      </c>
      <c r="X30" s="1812"/>
      <c r="Y30" s="3258"/>
      <c r="Z30" s="1813" t="str">
        <f t="shared" si="13"/>
        <v>土地级别</v>
      </c>
      <c r="AA30" s="1810">
        <f t="shared" si="3"/>
        <v>1</v>
      </c>
      <c r="AB30" s="1810">
        <f t="shared" si="4"/>
        <v>1</v>
      </c>
      <c r="AC30" s="1810">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58"/>
      <c r="Q31" s="1809">
        <f t="shared" si="8"/>
        <v>111</v>
      </c>
      <c r="R31" s="774" t="s">
        <v>17</v>
      </c>
      <c r="S31" s="775">
        <f t="shared" si="10"/>
        <v>100</v>
      </c>
      <c r="T31" s="774" t="s">
        <v>17</v>
      </c>
      <c r="U31" s="775">
        <f t="shared" si="11"/>
        <v>100</v>
      </c>
      <c r="V31" s="774" t="s">
        <v>17</v>
      </c>
      <c r="W31" s="775">
        <f t="shared" si="12"/>
        <v>100</v>
      </c>
      <c r="X31" s="1812"/>
      <c r="Y31" s="3258"/>
      <c r="Z31" s="1813">
        <f t="shared" si="13"/>
        <v>111</v>
      </c>
      <c r="AA31" s="1810">
        <f t="shared" si="3"/>
        <v>1</v>
      </c>
      <c r="AB31" s="1810">
        <f t="shared" si="4"/>
        <v>1</v>
      </c>
      <c r="AC31" s="1810">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81" t="s">
        <v>2562</v>
      </c>
      <c r="Q32" s="1809">
        <f t="shared" si="8"/>
        <v>111</v>
      </c>
      <c r="R32" s="774" t="s">
        <v>17</v>
      </c>
      <c r="S32" s="775">
        <f t="shared" si="10"/>
        <v>100</v>
      </c>
      <c r="T32" s="774" t="s">
        <v>17</v>
      </c>
      <c r="U32" s="775">
        <f t="shared" si="11"/>
        <v>100</v>
      </c>
      <c r="V32" s="774" t="s">
        <v>17</v>
      </c>
      <c r="W32" s="775">
        <f t="shared" si="12"/>
        <v>100</v>
      </c>
      <c r="X32" s="1812"/>
      <c r="Y32" s="3262" t="s">
        <v>2562</v>
      </c>
      <c r="Z32" s="1813">
        <f t="shared" si="13"/>
        <v>111</v>
      </c>
      <c r="AA32" s="1810">
        <f t="shared" si="3"/>
        <v>1</v>
      </c>
      <c r="AB32" s="1810">
        <f t="shared" si="4"/>
        <v>1</v>
      </c>
      <c r="AC32" s="1810">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62"/>
      <c r="Q33" s="1809">
        <f t="shared" si="8"/>
        <v>111</v>
      </c>
      <c r="R33" s="777" t="s">
        <v>17</v>
      </c>
      <c r="S33" s="778">
        <f t="shared" si="10"/>
        <v>100</v>
      </c>
      <c r="T33" s="777" t="s">
        <v>17</v>
      </c>
      <c r="U33" s="778">
        <f t="shared" si="11"/>
        <v>100</v>
      </c>
      <c r="V33" s="777" t="s">
        <v>17</v>
      </c>
      <c r="W33" s="778">
        <f t="shared" si="12"/>
        <v>100</v>
      </c>
      <c r="X33" s="779"/>
      <c r="Y33" s="3262"/>
      <c r="Z33" s="780">
        <f t="shared" si="13"/>
        <v>111</v>
      </c>
      <c r="AA33" s="1810">
        <f t="shared" si="3"/>
        <v>1</v>
      </c>
      <c r="AB33" s="1810">
        <f t="shared" si="4"/>
        <v>1</v>
      </c>
      <c r="AC33" s="1810">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62"/>
      <c r="Q34" s="1809" t="str">
        <f>B34</f>
        <v>宗地面积</v>
      </c>
      <c r="R34" s="774" t="s">
        <v>17</v>
      </c>
      <c r="S34" s="775" t="e">
        <f t="shared" si="10"/>
        <v>#N/A</v>
      </c>
      <c r="T34" s="774" t="s">
        <v>17</v>
      </c>
      <c r="U34" s="775" t="e">
        <f t="shared" si="11"/>
        <v>#N/A</v>
      </c>
      <c r="V34" s="774" t="s">
        <v>17</v>
      </c>
      <c r="W34" s="775" t="e">
        <f t="shared" si="12"/>
        <v>#N/A</v>
      </c>
      <c r="X34" s="1812"/>
      <c r="Y34" s="3262"/>
      <c r="Z34" s="1813" t="str">
        <f t="shared" si="13"/>
        <v>宗地面积</v>
      </c>
      <c r="AA34" s="1810" t="e">
        <f t="shared" si="3"/>
        <v>#N/A</v>
      </c>
      <c r="AB34" s="1810" t="e">
        <f t="shared" si="4"/>
        <v>#N/A</v>
      </c>
      <c r="AC34" s="1810" t="e">
        <f t="shared" si="5"/>
        <v>#N/A</v>
      </c>
    </row>
    <row r="35" spans="1:29" ht="15">
      <c r="A35" s="472"/>
      <c r="B35" s="422" t="s">
        <v>2749</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262"/>
      <c r="Q35" s="1809" t="str">
        <f t="shared" ref="Q35:Q40" si="14">B35</f>
        <v>宗地形状</v>
      </c>
      <c r="R35" s="774" t="s">
        <v>17</v>
      </c>
      <c r="S35" s="775">
        <f t="shared" si="10"/>
        <v>100</v>
      </c>
      <c r="T35" s="774" t="s">
        <v>17</v>
      </c>
      <c r="U35" s="775">
        <f t="shared" si="11"/>
        <v>100</v>
      </c>
      <c r="V35" s="774" t="s">
        <v>17</v>
      </c>
      <c r="W35" s="775">
        <f t="shared" si="12"/>
        <v>100</v>
      </c>
      <c r="X35" s="1812"/>
      <c r="Y35" s="3262"/>
      <c r="Z35" s="1813" t="str">
        <f t="shared" si="13"/>
        <v>宗地形状</v>
      </c>
      <c r="AA35" s="1810">
        <f t="shared" si="3"/>
        <v>1</v>
      </c>
      <c r="AB35" s="1810">
        <f t="shared" si="4"/>
        <v>1</v>
      </c>
      <c r="AC35" s="1810">
        <f t="shared" si="5"/>
        <v>1</v>
      </c>
    </row>
    <row r="36" spans="1:29" s="117" customFormat="1" ht="15">
      <c r="A36" s="473"/>
      <c r="B36" s="422" t="s">
        <v>2751</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2"/>
      <c r="M36" s="1133"/>
      <c r="N36" s="1133"/>
      <c r="O36" s="1134"/>
      <c r="P36" s="3262"/>
      <c r="Q36" s="1809" t="str">
        <f t="shared" si="14"/>
        <v>宗地开发程度</v>
      </c>
      <c r="R36" s="770" t="s">
        <v>17</v>
      </c>
      <c r="S36" s="771">
        <f t="shared" si="10"/>
        <v>100</v>
      </c>
      <c r="T36" s="770" t="s">
        <v>17</v>
      </c>
      <c r="U36" s="771">
        <f t="shared" si="11"/>
        <v>100</v>
      </c>
      <c r="V36" s="770" t="s">
        <v>17</v>
      </c>
      <c r="W36" s="771">
        <f t="shared" si="12"/>
        <v>100</v>
      </c>
      <c r="X36" s="772"/>
      <c r="Y36" s="3262"/>
      <c r="Z36" s="55" t="str">
        <f t="shared" si="13"/>
        <v>宗地开发程度</v>
      </c>
      <c r="AA36" s="773">
        <f t="shared" si="3"/>
        <v>1</v>
      </c>
      <c r="AB36" s="773">
        <f t="shared" si="4"/>
        <v>1</v>
      </c>
      <c r="AC36" s="773">
        <f t="shared" si="5"/>
        <v>1</v>
      </c>
    </row>
    <row r="37" spans="1:29" ht="15">
      <c r="A37" s="472"/>
      <c r="B37" s="422" t="s">
        <v>2752</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262" t="s">
        <v>2562</v>
      </c>
      <c r="Q37" s="1809" t="str">
        <f t="shared" si="14"/>
        <v>工程地质条件</v>
      </c>
      <c r="R37" s="774" t="s">
        <v>17</v>
      </c>
      <c r="S37" s="775">
        <f t="shared" si="10"/>
        <v>100</v>
      </c>
      <c r="T37" s="774" t="s">
        <v>17</v>
      </c>
      <c r="U37" s="775">
        <f t="shared" si="11"/>
        <v>100</v>
      </c>
      <c r="V37" s="774" t="s">
        <v>17</v>
      </c>
      <c r="W37" s="775">
        <f t="shared" si="12"/>
        <v>100</v>
      </c>
      <c r="X37" s="1812"/>
      <c r="Y37" s="3262" t="s">
        <v>2562</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62"/>
      <c r="Q38" s="1809">
        <f t="shared" si="14"/>
        <v>111</v>
      </c>
      <c r="R38" s="774" t="s">
        <v>17</v>
      </c>
      <c r="S38" s="775">
        <f t="shared" si="10"/>
        <v>100</v>
      </c>
      <c r="T38" s="774" t="s">
        <v>17</v>
      </c>
      <c r="U38" s="775">
        <f t="shared" si="11"/>
        <v>100</v>
      </c>
      <c r="V38" s="774" t="s">
        <v>17</v>
      </c>
      <c r="W38" s="775">
        <f t="shared" si="12"/>
        <v>100</v>
      </c>
      <c r="X38" s="1812"/>
      <c r="Y38" s="3262"/>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62"/>
      <c r="Q39" s="1809">
        <f t="shared" si="14"/>
        <v>111</v>
      </c>
      <c r="R39" s="774" t="s">
        <v>17</v>
      </c>
      <c r="S39" s="775">
        <f t="shared" si="10"/>
        <v>100</v>
      </c>
      <c r="T39" s="774" t="s">
        <v>17</v>
      </c>
      <c r="U39" s="775">
        <f t="shared" si="11"/>
        <v>100</v>
      </c>
      <c r="V39" s="774" t="s">
        <v>17</v>
      </c>
      <c r="W39" s="775">
        <f t="shared" si="12"/>
        <v>100</v>
      </c>
      <c r="X39" s="1812"/>
      <c r="Y39" s="3262"/>
      <c r="Z39" s="1813">
        <f t="shared" si="13"/>
        <v>111</v>
      </c>
      <c r="AA39" s="1810">
        <f t="shared" si="3"/>
        <v>1</v>
      </c>
      <c r="AB39" s="1810">
        <f t="shared" si="4"/>
        <v>1</v>
      </c>
      <c r="AC39" s="1810">
        <f t="shared" si="5"/>
        <v>1</v>
      </c>
    </row>
    <row r="40" spans="1:29" s="471" customFormat="1" ht="15.75" thickBot="1">
      <c r="A40" s="468"/>
      <c r="B40" s="1387">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62"/>
      <c r="Q40" s="1809">
        <f t="shared" si="14"/>
        <v>111</v>
      </c>
      <c r="R40" s="777" t="s">
        <v>17</v>
      </c>
      <c r="S40" s="778">
        <f t="shared" si="10"/>
        <v>100</v>
      </c>
      <c r="T40" s="777" t="s">
        <v>17</v>
      </c>
      <c r="U40" s="778">
        <f t="shared" si="11"/>
        <v>100</v>
      </c>
      <c r="V40" s="777" t="s">
        <v>17</v>
      </c>
      <c r="W40" s="778">
        <f t="shared" si="12"/>
        <v>100</v>
      </c>
      <c r="X40" s="779"/>
      <c r="Y40" s="3262"/>
      <c r="Z40" s="780">
        <f t="shared" si="13"/>
        <v>111</v>
      </c>
      <c r="AA40" s="1810">
        <f t="shared" si="3"/>
        <v>1</v>
      </c>
      <c r="AB40" s="1810">
        <f t="shared" si="4"/>
        <v>1</v>
      </c>
      <c r="AC40" s="1810">
        <f t="shared" si="5"/>
        <v>1</v>
      </c>
    </row>
    <row r="41" spans="1:29" ht="15">
      <c r="A41" s="479" t="s">
        <v>2717</v>
      </c>
      <c r="B41" s="2701" t="s">
        <v>2797</v>
      </c>
      <c r="C41" s="682" t="s">
        <v>1</v>
      </c>
      <c r="D41" s="481"/>
      <c r="E41" s="482"/>
      <c r="F41" s="483"/>
      <c r="G41" s="484"/>
      <c r="H41" s="485"/>
      <c r="I41" s="482"/>
      <c r="J41" s="485"/>
      <c r="K41" s="783"/>
      <c r="L41" s="1143"/>
      <c r="M41" s="1131"/>
      <c r="N41" s="1131"/>
      <c r="O41" s="1144"/>
      <c r="P41" s="3255" t="str">
        <f>A41</f>
        <v>成交单价</v>
      </c>
      <c r="Q41" s="3255"/>
      <c r="R41" s="3250">
        <f>E41</f>
        <v>0</v>
      </c>
      <c r="S41" s="3250"/>
      <c r="T41" s="3250">
        <f>G41</f>
        <v>0</v>
      </c>
      <c r="U41" s="3250"/>
      <c r="V41" s="3250">
        <f>I41</f>
        <v>0</v>
      </c>
      <c r="W41" s="3250"/>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255" t="str">
        <f>A42</f>
        <v>比较价值（元/平方米）</v>
      </c>
      <c r="Q42" s="3255"/>
      <c r="R42" s="3282" t="e">
        <f>ROUND(PRODUCT(R41,AA7:AA40),0)</f>
        <v>#DIV/0!</v>
      </c>
      <c r="S42" s="3282"/>
      <c r="T42" s="3282" t="e">
        <f>ROUND(PRODUCT(T41,AB7:AB40),0)</f>
        <v>#DIV/0!</v>
      </c>
      <c r="U42" s="3282"/>
      <c r="V42" s="3282" t="e">
        <f>ROUND(PRODUCT(V41,AC7:AC40),0)</f>
        <v>#DIV/0!</v>
      </c>
      <c r="W42" s="3282"/>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252" t="str">
        <f>A43</f>
        <v>估价对象XX用房的比较价值（楼面单价，元/平方米）</v>
      </c>
      <c r="Q43" s="3253"/>
      <c r="R43" s="3283" t="e">
        <f>ROUND(AVERAGE(R42:V42),0)</f>
        <v>#DIV/0!</v>
      </c>
      <c r="S43" s="3283"/>
      <c r="T43" s="3283"/>
      <c r="U43" s="3283"/>
      <c r="V43" s="3283"/>
      <c r="W43" s="328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2" t="s">
        <v>2757</v>
      </c>
      <c r="D50" s="2703" t="s">
        <v>2758</v>
      </c>
      <c r="E50" s="686" t="s">
        <v>2759</v>
      </c>
      <c r="F50" s="687" t="s">
        <v>2760</v>
      </c>
      <c r="G50" s="3238" t="s">
        <v>2761</v>
      </c>
      <c r="H50" s="3284"/>
      <c r="I50" s="1813" t="s">
        <v>2798</v>
      </c>
      <c r="J50" s="1813">
        <f>项目基本情况!F35</f>
        <v>0</v>
      </c>
      <c r="K50" s="2705" t="s">
        <v>2763</v>
      </c>
      <c r="L50" s="1106"/>
      <c r="M50" s="1144"/>
      <c r="N50" s="1144"/>
      <c r="O50" s="1144"/>
    </row>
    <row r="51" spans="1:17" s="692" customFormat="1">
      <c r="A51" s="688" t="s">
        <v>2764</v>
      </c>
      <c r="B51" s="689" t="e">
        <f>C43</f>
        <v>#DIV/0!</v>
      </c>
      <c r="C51" s="690">
        <v>1</v>
      </c>
      <c r="D51" s="1163">
        <v>1</v>
      </c>
      <c r="E51" s="690">
        <f>'数据-汇总表'!E8+'数据-汇总表'!E9</f>
        <v>34093.799999999996</v>
      </c>
      <c r="F51" s="691" t="e">
        <f t="shared" ref="F51:F60" si="15">ROUND(B51*E51/10000,0)</f>
        <v>#DIV/0!</v>
      </c>
      <c r="G51" s="3237"/>
      <c r="H51" s="3255"/>
      <c r="I51" s="942">
        <v>1</v>
      </c>
      <c r="J51" s="942">
        <v>1</v>
      </c>
      <c r="K51" s="1145"/>
      <c r="L51" s="941"/>
      <c r="M51" s="941"/>
      <c r="N51" s="941"/>
      <c r="O51" s="941"/>
    </row>
    <row r="52" spans="1:17" s="692" customFormat="1">
      <c r="A52" s="693" t="s">
        <v>2765</v>
      </c>
      <c r="B52" s="262" t="e">
        <f>ROUND($C$43*C52*D52,0)</f>
        <v>#DIV/0!</v>
      </c>
      <c r="C52" s="200">
        <f t="shared" ref="C52:C60" si="16">IF($C$50="北京市系数",I52,J52)</f>
        <v>0.8</v>
      </c>
      <c r="D52" s="1164">
        <v>0.25</v>
      </c>
      <c r="E52" s="694"/>
      <c r="F52" s="691" t="e">
        <f t="shared" si="15"/>
        <v>#DIV/0!</v>
      </c>
      <c r="G52" s="3285" t="s">
        <v>2766</v>
      </c>
      <c r="H52" s="1104" t="str">
        <f>项目基本情况!B37</f>
        <v>二级</v>
      </c>
      <c r="I52" s="942">
        <f>SUMIF(修正!A45:A56,H52,修正!B45:B56)</f>
        <v>0.8</v>
      </c>
      <c r="J52" s="943"/>
      <c r="K52" s="1144"/>
      <c r="L52" s="941"/>
      <c r="M52" s="941"/>
      <c r="N52" s="941"/>
      <c r="O52" s="941"/>
    </row>
    <row r="53" spans="1:17" s="692" customFormat="1">
      <c r="A53" s="693" t="s">
        <v>2767</v>
      </c>
      <c r="B53" s="262" t="e">
        <f t="shared" ref="B53:B60" si="17">ROUND($C$43*C53*D53,0)</f>
        <v>#DIV/0!</v>
      </c>
      <c r="C53" s="200">
        <f t="shared" si="16"/>
        <v>0.5</v>
      </c>
      <c r="D53" s="1164">
        <v>0.25</v>
      </c>
      <c r="E53" s="694"/>
      <c r="F53" s="691" t="e">
        <f t="shared" si="15"/>
        <v>#DIV/0!</v>
      </c>
      <c r="G53" s="3285"/>
      <c r="H53" s="1104" t="str">
        <f>项目基本情况!B37</f>
        <v>二级</v>
      </c>
      <c r="I53" s="942">
        <f>SUMIF(修正!A45:A56,H53,修正!C45:C56)</f>
        <v>0.5</v>
      </c>
      <c r="J53" s="943"/>
      <c r="K53" s="1145"/>
      <c r="L53" s="941"/>
      <c r="M53" s="941"/>
      <c r="N53" s="941"/>
      <c r="O53" s="941"/>
    </row>
    <row r="54" spans="1:17" s="692" customFormat="1">
      <c r="A54" s="693" t="s">
        <v>2768</v>
      </c>
      <c r="B54" s="262" t="e">
        <f t="shared" si="17"/>
        <v>#DIV/0!</v>
      </c>
      <c r="C54" s="200">
        <f t="shared" si="16"/>
        <v>0.36</v>
      </c>
      <c r="D54" s="1164">
        <v>0.25</v>
      </c>
      <c r="E54" s="694"/>
      <c r="F54" s="691" t="e">
        <f t="shared" si="15"/>
        <v>#DIV/0!</v>
      </c>
      <c r="G54" s="3285"/>
      <c r="H54" s="1104" t="str">
        <f>项目基本情况!B37</f>
        <v>二级</v>
      </c>
      <c r="I54" s="942">
        <f>SUMIF(修正!A45:A56,H54,修正!D45:D56)</f>
        <v>0.36</v>
      </c>
      <c r="J54" s="943"/>
      <c r="K54" s="1144"/>
      <c r="L54" s="941"/>
      <c r="M54" s="941"/>
      <c r="N54" s="941"/>
      <c r="O54" s="941"/>
    </row>
    <row r="55" spans="1:17" s="692" customFormat="1">
      <c r="A55" s="693" t="s">
        <v>2769</v>
      </c>
      <c r="B55" s="262" t="e">
        <f t="shared" si="17"/>
        <v>#DIV/0!</v>
      </c>
      <c r="C55" s="200">
        <f t="shared" si="16"/>
        <v>0.3</v>
      </c>
      <c r="D55" s="1164">
        <v>0.25</v>
      </c>
      <c r="E55" s="694"/>
      <c r="F55" s="691" t="e">
        <f t="shared" si="15"/>
        <v>#DIV/0!</v>
      </c>
      <c r="G55" s="3285"/>
      <c r="H55" s="1104" t="str">
        <f>项目基本情况!B37</f>
        <v>二级</v>
      </c>
      <c r="I55" s="942">
        <f>SUMIF(修正!A45:A56,H55,修正!E45:E56)</f>
        <v>0.3</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06"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0.25</v>
      </c>
      <c r="D59" s="1164">
        <v>0.25</v>
      </c>
      <c r="E59" s="261">
        <f>'数据-汇总表'!E14</f>
        <v>0</v>
      </c>
      <c r="F59" s="691" t="e">
        <f t="shared" si="15"/>
        <v>#DIV/0!</v>
      </c>
      <c r="G59" s="2706" t="s">
        <v>2766</v>
      </c>
      <c r="H59" s="1104" t="str">
        <f>项目基本情况!B37</f>
        <v>二级</v>
      </c>
      <c r="I59" s="942">
        <f>SUMIF(修正!A45:A56,H59,修正!H45:H56)</f>
        <v>0.25</v>
      </c>
      <c r="J59" s="943"/>
      <c r="K59" s="1145"/>
      <c r="L59" s="941"/>
      <c r="M59" s="941"/>
      <c r="N59" s="941"/>
      <c r="O59" s="941"/>
    </row>
    <row r="60" spans="1:17" s="692" customFormat="1" ht="15" thickBot="1">
      <c r="A60" s="693" t="s">
        <v>2777</v>
      </c>
      <c r="B60" s="262" t="e">
        <f t="shared" si="17"/>
        <v>#DIV/0!</v>
      </c>
      <c r="C60" s="200">
        <f t="shared" si="16"/>
        <v>0</v>
      </c>
      <c r="D60" s="1164">
        <v>0.25</v>
      </c>
      <c r="E60" s="261">
        <f>'数据-汇总表'!E15</f>
        <v>0</v>
      </c>
      <c r="F60" s="691" t="e">
        <f t="shared" si="15"/>
        <v>#DIV/0!</v>
      </c>
      <c r="G60" s="2707" t="s">
        <v>2771</v>
      </c>
      <c r="H60" s="1114">
        <f>项目基本情况!C37</f>
        <v>0</v>
      </c>
      <c r="I60" s="942">
        <f>SUMIF(修正!A45:A56,H60,修正!H45:H56)</f>
        <v>0</v>
      </c>
      <c r="J60" s="943"/>
      <c r="K60" s="1144"/>
      <c r="L60" s="941"/>
      <c r="M60" s="941"/>
      <c r="N60" s="941"/>
      <c r="O60" s="941"/>
    </row>
    <row r="61" spans="1:17" s="692" customFormat="1" ht="15" thickBot="1">
      <c r="A61" s="695" t="s">
        <v>2778</v>
      </c>
      <c r="B61" s="696" t="s">
        <v>28</v>
      </c>
      <c r="C61" s="696" t="s">
        <v>29</v>
      </c>
      <c r="D61" s="696" t="s">
        <v>1025</v>
      </c>
      <c r="E61" s="696">
        <f>IF(B41="楼面地价",SUM(E51:E60),'数据-汇总表'!D3)</f>
        <v>7779.45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08" t="s">
        <v>2779</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3" t="s">
        <v>2799</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0" t="s">
        <v>183</v>
      </c>
      <c r="B18" s="882" t="s">
        <v>560</v>
      </c>
      <c r="C18" s="883" t="s">
        <v>561</v>
      </c>
      <c r="D18" s="884"/>
      <c r="E18" s="882">
        <v>1</v>
      </c>
      <c r="F18" s="885" t="s">
        <v>562</v>
      </c>
      <c r="G18" s="886"/>
      <c r="H18" s="878"/>
      <c r="I18" s="878"/>
    </row>
    <row r="19" spans="1:9" s="887" customFormat="1" ht="19.5" customHeight="1">
      <c r="A19" s="3290"/>
      <c r="B19" s="3290" t="s">
        <v>563</v>
      </c>
      <c r="C19" s="883" t="s">
        <v>564</v>
      </c>
      <c r="D19" s="884"/>
      <c r="E19" s="882">
        <v>0.9</v>
      </c>
      <c r="F19" s="885" t="s">
        <v>565</v>
      </c>
      <c r="G19" s="886"/>
      <c r="H19" s="878"/>
      <c r="I19" s="878"/>
    </row>
    <row r="20" spans="1:9" s="887" customFormat="1" ht="19.5" customHeight="1">
      <c r="A20" s="3290"/>
      <c r="B20" s="3290"/>
      <c r="C20" s="883" t="s">
        <v>566</v>
      </c>
      <c r="D20" s="884"/>
      <c r="E20" s="882">
        <v>1.1000000000000001</v>
      </c>
      <c r="F20" s="885" t="s">
        <v>567</v>
      </c>
      <c r="G20" s="886"/>
      <c r="H20" s="878"/>
      <c r="I20" s="878"/>
    </row>
    <row r="21" spans="1:9" s="887" customFormat="1" ht="19.5" customHeight="1">
      <c r="A21" s="3290"/>
      <c r="B21" s="3290"/>
      <c r="C21" s="883" t="s">
        <v>568</v>
      </c>
      <c r="D21" s="884"/>
      <c r="E21" s="882">
        <v>0.8</v>
      </c>
      <c r="F21" s="885" t="s">
        <v>569</v>
      </c>
      <c r="G21" s="886"/>
      <c r="H21" s="878"/>
      <c r="I21" s="878"/>
    </row>
    <row r="22" spans="1:9" s="887" customFormat="1" ht="19.5" customHeight="1">
      <c r="A22" s="3290"/>
      <c r="B22" s="3290"/>
      <c r="C22" s="883" t="s">
        <v>570</v>
      </c>
      <c r="D22" s="884"/>
      <c r="E22" s="882">
        <v>0.5</v>
      </c>
      <c r="F22" s="885"/>
      <c r="G22" s="886"/>
      <c r="H22" s="878"/>
      <c r="I22" s="878"/>
    </row>
    <row r="23" spans="1:9" s="887" customFormat="1" ht="19.5" customHeight="1">
      <c r="A23" s="3290" t="s">
        <v>184</v>
      </c>
      <c r="B23" s="882" t="s">
        <v>560</v>
      </c>
      <c r="C23" s="883" t="s">
        <v>571</v>
      </c>
      <c r="D23" s="884"/>
      <c r="E23" s="882">
        <v>1</v>
      </c>
      <c r="F23" s="885" t="s">
        <v>572</v>
      </c>
      <c r="G23" s="886"/>
      <c r="H23" s="878"/>
      <c r="I23" s="878"/>
    </row>
    <row r="24" spans="1:9" s="887" customFormat="1" ht="19.5" customHeight="1">
      <c r="A24" s="3290"/>
      <c r="B24" s="3290" t="s">
        <v>563</v>
      </c>
      <c r="C24" s="883" t="s">
        <v>573</v>
      </c>
      <c r="D24" s="884"/>
      <c r="E24" s="882">
        <v>0.5</v>
      </c>
      <c r="F24" s="885"/>
      <c r="G24" s="886"/>
      <c r="H24" s="878"/>
      <c r="I24" s="878"/>
    </row>
    <row r="25" spans="1:9" s="887" customFormat="1" ht="19.5" customHeight="1">
      <c r="A25" s="3290"/>
      <c r="B25" s="3290"/>
      <c r="C25" s="883" t="s">
        <v>574</v>
      </c>
      <c r="D25" s="884"/>
      <c r="E25" s="882">
        <v>1.1000000000000001</v>
      </c>
      <c r="F25" s="885"/>
      <c r="G25" s="886"/>
      <c r="H25" s="878"/>
      <c r="I25" s="878"/>
    </row>
    <row r="26" spans="1:9" s="887" customFormat="1" ht="19.5" customHeight="1">
      <c r="A26" s="3290"/>
      <c r="B26" s="3290"/>
      <c r="C26" s="883" t="s">
        <v>575</v>
      </c>
      <c r="D26" s="884"/>
      <c r="E26" s="882">
        <v>1.1000000000000001</v>
      </c>
      <c r="F26" s="885"/>
      <c r="G26" s="886"/>
      <c r="H26" s="878"/>
      <c r="I26" s="878"/>
    </row>
    <row r="27" spans="1:9" s="887" customFormat="1" ht="19.5" customHeight="1">
      <c r="A27" s="3290"/>
      <c r="B27" s="3290"/>
      <c r="C27" s="883" t="s">
        <v>576</v>
      </c>
      <c r="D27" s="884"/>
      <c r="E27" s="882">
        <v>0.9</v>
      </c>
      <c r="F27" s="885" t="s">
        <v>577</v>
      </c>
      <c r="G27" s="886"/>
      <c r="H27" s="878"/>
      <c r="I27" s="878"/>
    </row>
    <row r="28" spans="1:9" s="887" customFormat="1" ht="19.5" customHeight="1">
      <c r="A28" s="3290"/>
      <c r="B28" s="3290"/>
      <c r="C28" s="883" t="s">
        <v>578</v>
      </c>
      <c r="D28" s="884"/>
      <c r="E28" s="882">
        <v>0.9</v>
      </c>
      <c r="F28" s="885" t="s">
        <v>579</v>
      </c>
      <c r="G28" s="886"/>
      <c r="H28" s="878"/>
      <c r="I28" s="878"/>
    </row>
    <row r="29" spans="1:9" s="887" customFormat="1" ht="19.5" customHeight="1">
      <c r="A29" s="3290"/>
      <c r="B29" s="3290"/>
      <c r="C29" s="883" t="s">
        <v>580</v>
      </c>
      <c r="D29" s="884"/>
      <c r="E29" s="882">
        <v>0.9</v>
      </c>
      <c r="F29" s="885" t="s">
        <v>581</v>
      </c>
      <c r="G29" s="886"/>
      <c r="H29" s="878"/>
      <c r="I29" s="878"/>
    </row>
    <row r="30" spans="1:9" s="887" customFormat="1" ht="19.5" customHeight="1">
      <c r="A30" s="3290"/>
      <c r="B30" s="3290"/>
      <c r="C30" s="883" t="s">
        <v>582</v>
      </c>
      <c r="D30" s="884"/>
      <c r="E30" s="882">
        <v>0.9</v>
      </c>
      <c r="F30" s="885" t="s">
        <v>583</v>
      </c>
      <c r="G30" s="886"/>
      <c r="H30" s="878"/>
      <c r="I30" s="878"/>
    </row>
    <row r="31" spans="1:9" s="887" customFormat="1" ht="19.5" customHeight="1">
      <c r="A31" s="3290"/>
      <c r="B31" s="3290"/>
      <c r="C31" s="883" t="s">
        <v>584</v>
      </c>
      <c r="D31" s="884"/>
      <c r="E31" s="882">
        <v>0.8</v>
      </c>
      <c r="F31" s="885" t="s">
        <v>585</v>
      </c>
      <c r="G31" s="886"/>
      <c r="H31" s="878"/>
      <c r="I31" s="878"/>
    </row>
    <row r="32" spans="1:9" s="887" customFormat="1" ht="19.5" customHeight="1">
      <c r="A32" s="3290"/>
      <c r="B32" s="3290"/>
      <c r="C32" s="883" t="s">
        <v>586</v>
      </c>
      <c r="D32" s="884"/>
      <c r="E32" s="882">
        <v>0.8</v>
      </c>
      <c r="F32" s="885" t="s">
        <v>587</v>
      </c>
      <c r="G32" s="886"/>
      <c r="H32" s="878"/>
      <c r="I32" s="878"/>
    </row>
    <row r="33" spans="1:9" s="887" customFormat="1" ht="19.5" customHeight="1">
      <c r="A33" s="3290" t="s">
        <v>185</v>
      </c>
      <c r="B33" s="882" t="s">
        <v>560</v>
      </c>
      <c r="C33" s="883" t="s">
        <v>588</v>
      </c>
      <c r="D33" s="884"/>
      <c r="E33" s="882">
        <v>1</v>
      </c>
      <c r="F33" s="885" t="s">
        <v>589</v>
      </c>
      <c r="G33" s="886"/>
      <c r="H33" s="878"/>
      <c r="I33" s="878"/>
    </row>
    <row r="34" spans="1:9" s="887" customFormat="1" ht="19.5" customHeight="1">
      <c r="A34" s="3290"/>
      <c r="B34" s="882" t="s">
        <v>563</v>
      </c>
      <c r="C34" s="883" t="s">
        <v>590</v>
      </c>
      <c r="D34" s="884"/>
      <c r="E34" s="882">
        <v>1.5</v>
      </c>
      <c r="F34" s="885" t="s">
        <v>591</v>
      </c>
      <c r="G34" s="886"/>
      <c r="H34" s="878"/>
      <c r="I34" s="878"/>
    </row>
    <row r="35" spans="1:9" s="887" customFormat="1" ht="19.5" customHeight="1">
      <c r="A35" s="3290" t="s">
        <v>186</v>
      </c>
      <c r="B35" s="882" t="s">
        <v>560</v>
      </c>
      <c r="C35" s="883" t="s">
        <v>592</v>
      </c>
      <c r="D35" s="884"/>
      <c r="E35" s="882">
        <v>1</v>
      </c>
      <c r="F35" s="885" t="s">
        <v>593</v>
      </c>
      <c r="G35" s="886"/>
      <c r="H35" s="878"/>
      <c r="I35" s="878"/>
    </row>
    <row r="36" spans="1:9" s="887" customFormat="1" ht="19.5" customHeight="1">
      <c r="A36" s="3290"/>
      <c r="B36" s="3290" t="s">
        <v>563</v>
      </c>
      <c r="C36" s="883" t="s">
        <v>594</v>
      </c>
      <c r="D36" s="884"/>
      <c r="E36" s="882">
        <v>1</v>
      </c>
      <c r="F36" s="885" t="s">
        <v>595</v>
      </c>
      <c r="G36" s="886"/>
      <c r="H36" s="878"/>
      <c r="I36" s="878"/>
    </row>
    <row r="37" spans="1:9" s="887" customFormat="1" ht="19.5" customHeight="1">
      <c r="A37" s="3290"/>
      <c r="B37" s="3290"/>
      <c r="C37" s="883" t="s">
        <v>596</v>
      </c>
      <c r="D37" s="884"/>
      <c r="E37" s="882">
        <v>1.5</v>
      </c>
      <c r="F37" s="885" t="s">
        <v>597</v>
      </c>
      <c r="G37" s="886"/>
      <c r="H37" s="878"/>
      <c r="I37" s="878"/>
    </row>
    <row r="38" spans="1:9" s="887" customFormat="1" ht="19.5" customHeight="1">
      <c r="A38" s="3290"/>
      <c r="B38" s="3290"/>
      <c r="C38" s="883" t="s">
        <v>598</v>
      </c>
      <c r="D38" s="884"/>
      <c r="E38" s="882">
        <v>1</v>
      </c>
      <c r="F38" s="885" t="s">
        <v>599</v>
      </c>
      <c r="G38" s="886"/>
      <c r="H38" s="878"/>
      <c r="I38" s="878"/>
    </row>
    <row r="39" spans="1:9" s="887" customFormat="1" ht="19.5" customHeight="1">
      <c r="A39" s="3290"/>
      <c r="B39" s="329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0" t="s">
        <v>614</v>
      </c>
      <c r="C61" s="818" t="s">
        <v>615</v>
      </c>
      <c r="D61" s="818" t="s">
        <v>616</v>
      </c>
      <c r="E61" s="895">
        <v>0.5</v>
      </c>
      <c r="F61" s="882">
        <v>80</v>
      </c>
    </row>
    <row r="62" spans="1:8" s="878" customFormat="1" ht="24">
      <c r="A62" s="882">
        <v>2</v>
      </c>
      <c r="B62" s="3290"/>
      <c r="C62" s="818" t="s">
        <v>617</v>
      </c>
      <c r="D62" s="818" t="s">
        <v>618</v>
      </c>
      <c r="E62" s="895">
        <v>0.5</v>
      </c>
      <c r="F62" s="882">
        <v>80</v>
      </c>
    </row>
    <row r="63" spans="1:8" s="878" customFormat="1" ht="36">
      <c r="A63" s="882">
        <v>3</v>
      </c>
      <c r="B63" s="3290"/>
      <c r="C63" s="818" t="s">
        <v>619</v>
      </c>
      <c r="D63" s="818" t="s">
        <v>620</v>
      </c>
      <c r="E63" s="895">
        <v>0.5</v>
      </c>
      <c r="F63" s="882">
        <v>80</v>
      </c>
    </row>
    <row r="64" spans="1:8" s="878" customFormat="1" ht="36">
      <c r="A64" s="882">
        <v>4</v>
      </c>
      <c r="B64" s="3290"/>
      <c r="C64" s="818" t="s">
        <v>621</v>
      </c>
      <c r="D64" s="818" t="s">
        <v>622</v>
      </c>
      <c r="E64" s="895">
        <v>0.4</v>
      </c>
      <c r="F64" s="882">
        <v>60</v>
      </c>
    </row>
    <row r="65" spans="1:6" s="878" customFormat="1" ht="36">
      <c r="A65" s="882">
        <v>5</v>
      </c>
      <c r="B65" s="3290"/>
      <c r="C65" s="818" t="s">
        <v>623</v>
      </c>
      <c r="D65" s="818" t="s">
        <v>624</v>
      </c>
      <c r="E65" s="895">
        <v>0.2</v>
      </c>
      <c r="F65" s="882">
        <v>30</v>
      </c>
    </row>
    <row r="66" spans="1:6" s="878" customFormat="1" ht="36">
      <c r="A66" s="882">
        <v>6</v>
      </c>
      <c r="B66" s="3290"/>
      <c r="C66" s="818" t="s">
        <v>625</v>
      </c>
      <c r="D66" s="818" t="s">
        <v>626</v>
      </c>
      <c r="E66" s="895">
        <v>0.3</v>
      </c>
      <c r="F66" s="882">
        <v>50</v>
      </c>
    </row>
    <row r="67" spans="1:6" s="878" customFormat="1" ht="36">
      <c r="A67" s="882">
        <v>7</v>
      </c>
      <c r="B67" s="3290"/>
      <c r="C67" s="818" t="s">
        <v>627</v>
      </c>
      <c r="D67" s="818" t="s">
        <v>628</v>
      </c>
      <c r="E67" s="895">
        <v>0.2</v>
      </c>
      <c r="F67" s="882">
        <v>30</v>
      </c>
    </row>
    <row r="68" spans="1:6" s="878" customFormat="1" ht="36">
      <c r="A68" s="882">
        <v>8</v>
      </c>
      <c r="B68" s="3290"/>
      <c r="C68" s="818" t="s">
        <v>629</v>
      </c>
      <c r="D68" s="818" t="s">
        <v>630</v>
      </c>
      <c r="E68" s="895">
        <v>0.2</v>
      </c>
      <c r="F68" s="882">
        <v>30</v>
      </c>
    </row>
    <row r="69" spans="1:6" s="878" customFormat="1" ht="36">
      <c r="A69" s="882">
        <v>9</v>
      </c>
      <c r="B69" s="3290"/>
      <c r="C69" s="818" t="s">
        <v>631</v>
      </c>
      <c r="D69" s="818" t="s">
        <v>632</v>
      </c>
      <c r="E69" s="895">
        <v>0.2</v>
      </c>
      <c r="F69" s="882">
        <v>30</v>
      </c>
    </row>
    <row r="70" spans="1:6" s="878" customFormat="1" ht="48">
      <c r="A70" s="882">
        <v>10</v>
      </c>
      <c r="B70" s="3290"/>
      <c r="C70" s="818" t="s">
        <v>633</v>
      </c>
      <c r="D70" s="818" t="s">
        <v>634</v>
      </c>
      <c r="E70" s="895">
        <v>0.2</v>
      </c>
      <c r="F70" s="882">
        <v>30</v>
      </c>
    </row>
    <row r="71" spans="1:6" s="878" customFormat="1" ht="48">
      <c r="A71" s="882">
        <v>11</v>
      </c>
      <c r="B71" s="3290"/>
      <c r="C71" s="818" t="s">
        <v>635</v>
      </c>
      <c r="D71" s="818" t="s">
        <v>636</v>
      </c>
      <c r="E71" s="895">
        <v>0.2</v>
      </c>
      <c r="F71" s="882">
        <v>30</v>
      </c>
    </row>
    <row r="72" spans="1:6" s="878" customFormat="1" ht="36">
      <c r="A72" s="882">
        <v>12</v>
      </c>
      <c r="B72" s="3290"/>
      <c r="C72" s="818" t="s">
        <v>637</v>
      </c>
      <c r="D72" s="818" t="s">
        <v>638</v>
      </c>
      <c r="E72" s="895">
        <v>0.5</v>
      </c>
      <c r="F72" s="882">
        <v>80</v>
      </c>
    </row>
    <row r="73" spans="1:6" s="878" customFormat="1" ht="24">
      <c r="A73" s="882">
        <v>13</v>
      </c>
      <c r="B73" s="3290"/>
      <c r="C73" s="818" t="s">
        <v>639</v>
      </c>
      <c r="D73" s="818" t="s">
        <v>640</v>
      </c>
      <c r="E73" s="895">
        <v>0.4</v>
      </c>
      <c r="F73" s="882">
        <v>60</v>
      </c>
    </row>
    <row r="74" spans="1:6" s="878" customFormat="1" ht="24">
      <c r="A74" s="882">
        <v>14</v>
      </c>
      <c r="B74" s="3290"/>
      <c r="C74" s="818" t="s">
        <v>641</v>
      </c>
      <c r="D74" s="818" t="s">
        <v>642</v>
      </c>
      <c r="E74" s="895">
        <v>0.2</v>
      </c>
      <c r="F74" s="882">
        <v>30</v>
      </c>
    </row>
    <row r="75" spans="1:6" s="878" customFormat="1" ht="24">
      <c r="A75" s="882">
        <v>15</v>
      </c>
      <c r="B75" s="3290"/>
      <c r="C75" s="818" t="s">
        <v>643</v>
      </c>
      <c r="D75" s="818" t="s">
        <v>644</v>
      </c>
      <c r="E75" s="895">
        <v>0.2</v>
      </c>
      <c r="F75" s="882">
        <v>30</v>
      </c>
    </row>
    <row r="76" spans="1:6" s="878" customFormat="1" ht="24">
      <c r="A76" s="882">
        <v>16</v>
      </c>
      <c r="B76" s="3290" t="s">
        <v>645</v>
      </c>
      <c r="C76" s="818" t="s">
        <v>646</v>
      </c>
      <c r="D76" s="818" t="s">
        <v>647</v>
      </c>
      <c r="E76" s="895">
        <v>0.5</v>
      </c>
      <c r="F76" s="882">
        <v>80</v>
      </c>
    </row>
    <row r="77" spans="1:6" s="878" customFormat="1" ht="24">
      <c r="A77" s="882">
        <v>17</v>
      </c>
      <c r="B77" s="3290"/>
      <c r="C77" s="818" t="s">
        <v>648</v>
      </c>
      <c r="D77" s="818" t="s">
        <v>649</v>
      </c>
      <c r="E77" s="895">
        <v>0.5</v>
      </c>
      <c r="F77" s="882">
        <v>80</v>
      </c>
    </row>
    <row r="78" spans="1:6" s="878" customFormat="1" ht="24">
      <c r="A78" s="882">
        <v>18</v>
      </c>
      <c r="B78" s="3290"/>
      <c r="C78" s="818" t="s">
        <v>650</v>
      </c>
      <c r="D78" s="818" t="s">
        <v>651</v>
      </c>
      <c r="E78" s="895">
        <v>0.2</v>
      </c>
      <c r="F78" s="882">
        <v>30</v>
      </c>
    </row>
    <row r="79" spans="1:6" s="878" customFormat="1" ht="24">
      <c r="A79" s="882">
        <v>19</v>
      </c>
      <c r="B79" s="3290"/>
      <c r="C79" s="818" t="s">
        <v>652</v>
      </c>
      <c r="D79" s="818" t="s">
        <v>653</v>
      </c>
      <c r="E79" s="895">
        <v>0.5</v>
      </c>
      <c r="F79" s="882">
        <v>80</v>
      </c>
    </row>
    <row r="80" spans="1:6" s="878" customFormat="1" ht="36">
      <c r="A80" s="882">
        <v>20</v>
      </c>
      <c r="B80" s="3290"/>
      <c r="C80" s="818" t="s">
        <v>654</v>
      </c>
      <c r="D80" s="818" t="s">
        <v>655</v>
      </c>
      <c r="E80" s="895">
        <v>0.2</v>
      </c>
      <c r="F80" s="882">
        <v>30</v>
      </c>
    </row>
    <row r="81" spans="1:6" s="878" customFormat="1" ht="36">
      <c r="A81" s="882">
        <v>21</v>
      </c>
      <c r="B81" s="3290"/>
      <c r="C81" s="818" t="s">
        <v>656</v>
      </c>
      <c r="D81" s="818" t="s">
        <v>657</v>
      </c>
      <c r="E81" s="895">
        <v>0.2</v>
      </c>
      <c r="F81" s="882">
        <v>30</v>
      </c>
    </row>
    <row r="82" spans="1:6" s="878" customFormat="1" ht="48">
      <c r="A82" s="882">
        <v>22</v>
      </c>
      <c r="B82" s="3290"/>
      <c r="C82" s="818" t="s">
        <v>658</v>
      </c>
      <c r="D82" s="818" t="s">
        <v>659</v>
      </c>
      <c r="E82" s="895">
        <v>0.2</v>
      </c>
      <c r="F82" s="882">
        <v>30</v>
      </c>
    </row>
    <row r="83" spans="1:6" s="878" customFormat="1" ht="48">
      <c r="A83" s="882">
        <v>23</v>
      </c>
      <c r="B83" s="3290"/>
      <c r="C83" s="818" t="s">
        <v>660</v>
      </c>
      <c r="D83" s="818" t="s">
        <v>661</v>
      </c>
      <c r="E83" s="895">
        <v>0.2</v>
      </c>
      <c r="F83" s="882">
        <v>30</v>
      </c>
    </row>
    <row r="84" spans="1:6" s="878" customFormat="1" ht="36">
      <c r="A84" s="882">
        <v>24</v>
      </c>
      <c r="B84" s="3290"/>
      <c r="C84" s="818" t="s">
        <v>662</v>
      </c>
      <c r="D84" s="818" t="s">
        <v>663</v>
      </c>
      <c r="E84" s="895">
        <v>0.2</v>
      </c>
      <c r="F84" s="882">
        <v>30</v>
      </c>
    </row>
    <row r="85" spans="1:6" s="878" customFormat="1" ht="36">
      <c r="A85" s="882">
        <v>25</v>
      </c>
      <c r="B85" s="3290"/>
      <c r="C85" s="818" t="s">
        <v>664</v>
      </c>
      <c r="D85" s="818" t="s">
        <v>665</v>
      </c>
      <c r="E85" s="895">
        <v>0.5</v>
      </c>
      <c r="F85" s="882">
        <v>80</v>
      </c>
    </row>
    <row r="86" spans="1:6" s="878" customFormat="1" ht="36">
      <c r="A86" s="882">
        <v>26</v>
      </c>
      <c r="B86" s="3290"/>
      <c r="C86" s="818" t="s">
        <v>666</v>
      </c>
      <c r="D86" s="818" t="s">
        <v>667</v>
      </c>
      <c r="E86" s="895">
        <v>0.2</v>
      </c>
      <c r="F86" s="882">
        <v>30</v>
      </c>
    </row>
    <row r="87" spans="1:6" s="878" customFormat="1" ht="36">
      <c r="A87" s="882">
        <v>27</v>
      </c>
      <c r="B87" s="3290"/>
      <c r="C87" s="818" t="s">
        <v>668</v>
      </c>
      <c r="D87" s="818" t="s">
        <v>669</v>
      </c>
      <c r="E87" s="895">
        <v>0.2</v>
      </c>
      <c r="F87" s="882">
        <v>30</v>
      </c>
    </row>
    <row r="88" spans="1:6" s="878" customFormat="1" ht="36">
      <c r="A88" s="882">
        <v>28</v>
      </c>
      <c r="B88" s="3290"/>
      <c r="C88" s="818" t="s">
        <v>670</v>
      </c>
      <c r="D88" s="818" t="s">
        <v>671</v>
      </c>
      <c r="E88" s="895">
        <v>0.2</v>
      </c>
      <c r="F88" s="882">
        <v>30</v>
      </c>
    </row>
    <row r="89" spans="1:6" s="878" customFormat="1" ht="24">
      <c r="A89" s="882">
        <v>29</v>
      </c>
      <c r="B89" s="3290"/>
      <c r="C89" s="818" t="s">
        <v>672</v>
      </c>
      <c r="D89" s="818" t="s">
        <v>673</v>
      </c>
      <c r="E89" s="895">
        <v>0.2</v>
      </c>
      <c r="F89" s="882">
        <v>30</v>
      </c>
    </row>
    <row r="90" spans="1:6" s="878" customFormat="1" ht="24">
      <c r="A90" s="882">
        <v>30</v>
      </c>
      <c r="B90" s="3290"/>
      <c r="C90" s="818" t="s">
        <v>674</v>
      </c>
      <c r="D90" s="818" t="s">
        <v>675</v>
      </c>
      <c r="E90" s="895">
        <v>0.2</v>
      </c>
      <c r="F90" s="882">
        <v>30</v>
      </c>
    </row>
    <row r="91" spans="1:6" s="878" customFormat="1" ht="36">
      <c r="A91" s="882">
        <v>31</v>
      </c>
      <c r="B91" s="3290"/>
      <c r="C91" s="818" t="s">
        <v>676</v>
      </c>
      <c r="D91" s="818" t="s">
        <v>677</v>
      </c>
      <c r="E91" s="895">
        <v>0.2</v>
      </c>
      <c r="F91" s="882">
        <v>30</v>
      </c>
    </row>
    <row r="92" spans="1:6" s="878" customFormat="1" ht="24">
      <c r="A92" s="882">
        <v>32</v>
      </c>
      <c r="B92" s="3290" t="s">
        <v>678</v>
      </c>
      <c r="C92" s="882" t="s">
        <v>679</v>
      </c>
      <c r="D92" s="818" t="s">
        <v>680</v>
      </c>
      <c r="E92" s="895">
        <v>0.2</v>
      </c>
      <c r="F92" s="882">
        <v>30</v>
      </c>
    </row>
    <row r="93" spans="1:6" s="878" customFormat="1" ht="36">
      <c r="A93" s="882">
        <v>33</v>
      </c>
      <c r="B93" s="3290"/>
      <c r="C93" s="882" t="s">
        <v>681</v>
      </c>
      <c r="D93" s="818" t="s">
        <v>682</v>
      </c>
      <c r="E93" s="895">
        <v>0.2</v>
      </c>
      <c r="F93" s="882">
        <v>30</v>
      </c>
    </row>
    <row r="94" spans="1:6" s="878" customFormat="1" ht="48">
      <c r="A94" s="882">
        <v>34</v>
      </c>
      <c r="B94" s="3290"/>
      <c r="C94" s="882" t="s">
        <v>683</v>
      </c>
      <c r="D94" s="818" t="s">
        <v>684</v>
      </c>
      <c r="E94" s="895">
        <v>0.2</v>
      </c>
      <c r="F94" s="882">
        <v>30</v>
      </c>
    </row>
    <row r="95" spans="1:6" s="878" customFormat="1" ht="36">
      <c r="A95" s="882">
        <v>35</v>
      </c>
      <c r="B95" s="3290"/>
      <c r="C95" s="882" t="s">
        <v>685</v>
      </c>
      <c r="D95" s="818" t="s">
        <v>686</v>
      </c>
      <c r="E95" s="895">
        <v>0.2</v>
      </c>
      <c r="F95" s="882">
        <v>30</v>
      </c>
    </row>
    <row r="96" spans="1:6" s="878" customFormat="1" ht="48">
      <c r="A96" s="882">
        <v>36</v>
      </c>
      <c r="B96" s="3290"/>
      <c r="C96" s="818" t="s">
        <v>687</v>
      </c>
      <c r="D96" s="818" t="s">
        <v>688</v>
      </c>
      <c r="E96" s="895">
        <v>0.2</v>
      </c>
      <c r="F96" s="882">
        <v>30</v>
      </c>
    </row>
    <row r="97" spans="1:6" s="878" customFormat="1" ht="36">
      <c r="A97" s="882">
        <v>37</v>
      </c>
      <c r="B97" s="3290"/>
      <c r="C97" s="882" t="s">
        <v>689</v>
      </c>
      <c r="D97" s="818" t="s">
        <v>690</v>
      </c>
      <c r="E97" s="895">
        <v>0.2</v>
      </c>
      <c r="F97" s="882">
        <v>30</v>
      </c>
    </row>
    <row r="98" spans="1:6" s="878" customFormat="1" ht="36">
      <c r="A98" s="882">
        <v>38</v>
      </c>
      <c r="B98" s="3290"/>
      <c r="C98" s="882" t="s">
        <v>691</v>
      </c>
      <c r="D98" s="818" t="s">
        <v>692</v>
      </c>
      <c r="E98" s="895">
        <v>0.2</v>
      </c>
      <c r="F98" s="882">
        <v>30</v>
      </c>
    </row>
    <row r="99" spans="1:6" s="878" customFormat="1" ht="36">
      <c r="A99" s="882">
        <v>39</v>
      </c>
      <c r="B99" s="3290" t="s">
        <v>693</v>
      </c>
      <c r="C99" s="882" t="s">
        <v>694</v>
      </c>
      <c r="D99" s="818" t="s">
        <v>695</v>
      </c>
      <c r="E99" s="895">
        <v>0.3</v>
      </c>
      <c r="F99" s="882">
        <v>50</v>
      </c>
    </row>
    <row r="100" spans="1:6" s="878" customFormat="1" ht="24">
      <c r="A100" s="882">
        <v>40</v>
      </c>
      <c r="B100" s="3290"/>
      <c r="C100" s="882" t="s">
        <v>696</v>
      </c>
      <c r="D100" s="818" t="s">
        <v>697</v>
      </c>
      <c r="E100" s="895">
        <v>0.2</v>
      </c>
      <c r="F100" s="882">
        <v>30</v>
      </c>
    </row>
    <row r="101" spans="1:6" s="878" customFormat="1" ht="36">
      <c r="A101" s="882">
        <v>41</v>
      </c>
      <c r="B101" s="329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0" t="s">
        <v>708</v>
      </c>
      <c r="C105" s="882" t="s">
        <v>709</v>
      </c>
      <c r="D105" s="818" t="s">
        <v>710</v>
      </c>
      <c r="E105" s="895">
        <v>0.2</v>
      </c>
      <c r="F105" s="882">
        <v>30</v>
      </c>
    </row>
    <row r="106" spans="1:6" s="878" customFormat="1" ht="36">
      <c r="A106" s="882">
        <v>46</v>
      </c>
      <c r="B106" s="3290"/>
      <c r="C106" s="882" t="s">
        <v>711</v>
      </c>
      <c r="D106" s="818" t="s">
        <v>712</v>
      </c>
      <c r="E106" s="895">
        <v>0.2</v>
      </c>
      <c r="F106" s="882">
        <v>30</v>
      </c>
    </row>
    <row r="107" spans="1:6" s="878" customFormat="1" ht="36">
      <c r="A107" s="882">
        <v>47</v>
      </c>
      <c r="B107" s="3290" t="s">
        <v>713</v>
      </c>
      <c r="C107" s="882" t="s">
        <v>714</v>
      </c>
      <c r="D107" s="818" t="s">
        <v>715</v>
      </c>
      <c r="E107" s="895">
        <v>0.3</v>
      </c>
      <c r="F107" s="882">
        <v>50</v>
      </c>
    </row>
    <row r="108" spans="1:6" s="878" customFormat="1" ht="36">
      <c r="A108" s="882">
        <v>48</v>
      </c>
      <c r="B108" s="329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0" t="s">
        <v>724</v>
      </c>
      <c r="C111" s="882" t="s">
        <v>725</v>
      </c>
      <c r="D111" s="818" t="s">
        <v>726</v>
      </c>
      <c r="E111" s="895">
        <v>0.2</v>
      </c>
      <c r="F111" s="882">
        <v>30</v>
      </c>
    </row>
    <row r="112" spans="1:6" s="878" customFormat="1" ht="24">
      <c r="A112" s="882">
        <v>52</v>
      </c>
      <c r="B112" s="3290"/>
      <c r="C112" s="882" t="s">
        <v>727</v>
      </c>
      <c r="D112" s="818" t="s">
        <v>728</v>
      </c>
      <c r="E112" s="895">
        <v>0.2</v>
      </c>
      <c r="F112" s="882">
        <v>30</v>
      </c>
    </row>
    <row r="113" spans="1:6" s="878" customFormat="1" ht="24">
      <c r="A113" s="882">
        <v>53</v>
      </c>
      <c r="B113" s="329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0" t="s">
        <v>737</v>
      </c>
      <c r="C116" s="882" t="s">
        <v>738</v>
      </c>
      <c r="D116" s="818" t="s">
        <v>739</v>
      </c>
      <c r="E116" s="895">
        <v>0.2</v>
      </c>
      <c r="F116" s="882">
        <v>30</v>
      </c>
    </row>
    <row r="117" spans="1:6" ht="36">
      <c r="A117" s="882">
        <v>57</v>
      </c>
      <c r="B117" s="329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0.94820000000000004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8" t="s">
        <v>2999</v>
      </c>
    </row>
    <row r="2" spans="1:5" ht="15.75">
      <c r="A2" s="2898" t="s">
        <v>2991</v>
      </c>
      <c r="B2" s="2899">
        <f ca="1">SUMIF(B6:B13,"&lt;&gt;#ref!",B6:B13)</f>
        <v>120565</v>
      </c>
      <c r="C2" s="2898" t="s">
        <v>2992</v>
      </c>
      <c r="D2" s="2898" t="s">
        <v>2993</v>
      </c>
      <c r="E2" s="2899">
        <f ca="1">SUMIF(E6:E13,"&lt;&gt;#ref!",E6:E13)</f>
        <v>51328.59</v>
      </c>
    </row>
    <row r="3" spans="1:5" ht="15.75">
      <c r="A3" s="2898" t="s">
        <v>2994</v>
      </c>
      <c r="B3" s="2899">
        <f ca="1">ROUND(B2*10000/E2,0)</f>
        <v>23489</v>
      </c>
      <c r="C3" s="2898" t="s">
        <v>3000</v>
      </c>
      <c r="D3" s="2900"/>
      <c r="E3" s="2900"/>
    </row>
    <row r="4" spans="1:5" ht="15.75">
      <c r="A4" s="2901"/>
      <c r="B4" s="2900"/>
      <c r="C4" s="2900"/>
      <c r="D4" s="2900"/>
      <c r="E4" s="2900"/>
    </row>
    <row r="5" spans="1:5" ht="28.5">
      <c r="A5" s="2902" t="s">
        <v>2995</v>
      </c>
      <c r="B5" s="2898" t="s">
        <v>2996</v>
      </c>
      <c r="C5" s="2899"/>
      <c r="D5" s="2900"/>
      <c r="E5" s="2898" t="s">
        <v>2997</v>
      </c>
    </row>
    <row r="6" spans="1:5" ht="15.75">
      <c r="A6" s="2903" t="s">
        <v>2998</v>
      </c>
      <c r="B6" s="2899">
        <f ca="1">SUMIF(INDIRECT("'"&amp;A6&amp;"'"&amp;"!A:A"),"总价",INDIRECT("'"&amp;A6&amp;"'"&amp;"!B:B"))</f>
        <v>120565</v>
      </c>
      <c r="C6" s="2898" t="s">
        <v>2992</v>
      </c>
      <c r="D6" s="2900"/>
      <c r="E6" s="2572">
        <f ca="1">SUMIF(INDIRECT("'"&amp;A6&amp;"'"&amp;"!C:C"),"建筑面积",INDIRECT("'"&amp;A6&amp;"'"&amp;"!D:D"))</f>
        <v>51328.59</v>
      </c>
    </row>
    <row r="7" spans="1:5" ht="15.75">
      <c r="A7" s="2903"/>
      <c r="B7" s="2899" t="e">
        <f ca="1">SUMIF(INDIRECT("'"&amp;A7&amp;"'"&amp;"!A:A"),"总价",INDIRECT("'"&amp;A7&amp;"'"&amp;"!B:B"))</f>
        <v>#REF!</v>
      </c>
      <c r="C7" s="2898" t="s">
        <v>2992</v>
      </c>
      <c r="D7" s="2900"/>
      <c r="E7" s="2572" t="e">
        <f t="shared" ref="E7:E13" ca="1" si="0">SUMIF(INDIRECT("'"&amp;A7&amp;"'"&amp;"!C:C"),"建筑面积",INDIRECT("'"&amp;A7&amp;"'"&amp;"!D:D"))</f>
        <v>#REF!</v>
      </c>
    </row>
    <row r="8" spans="1:5" ht="15.75">
      <c r="A8" s="2903"/>
      <c r="B8" s="2899" t="e">
        <f t="shared" ref="B8:B13" ca="1" si="1">SUMIF(INDIRECT("'"&amp;A8&amp;"'"&amp;"!A:A"),"总价",INDIRECT("'"&amp;A8&amp;"'"&amp;"!B:B"))</f>
        <v>#REF!</v>
      </c>
      <c r="C8" s="2898" t="s">
        <v>2992</v>
      </c>
      <c r="D8" s="2900"/>
      <c r="E8" s="2572" t="e">
        <f t="shared" ca="1" si="0"/>
        <v>#REF!</v>
      </c>
    </row>
    <row r="9" spans="1:5" ht="15.75">
      <c r="A9" s="2903"/>
      <c r="B9" s="2899" t="e">
        <f t="shared" ca="1" si="1"/>
        <v>#REF!</v>
      </c>
      <c r="C9" s="2898" t="s">
        <v>2992</v>
      </c>
      <c r="D9" s="2900"/>
      <c r="E9" s="2572" t="e">
        <f t="shared" ca="1" si="0"/>
        <v>#REF!</v>
      </c>
    </row>
    <row r="10" spans="1:5" ht="15.75">
      <c r="A10" s="2903"/>
      <c r="B10" s="2899" t="e">
        <f t="shared" ca="1" si="1"/>
        <v>#REF!</v>
      </c>
      <c r="C10" s="2898" t="s">
        <v>2992</v>
      </c>
      <c r="D10" s="2900"/>
      <c r="E10" s="2572" t="e">
        <f t="shared" ca="1" si="0"/>
        <v>#REF!</v>
      </c>
    </row>
    <row r="11" spans="1:5" ht="15.75">
      <c r="A11" s="2903"/>
      <c r="B11" s="2899" t="e">
        <f t="shared" ca="1" si="1"/>
        <v>#REF!</v>
      </c>
      <c r="C11" s="2898" t="s">
        <v>2992</v>
      </c>
      <c r="D11" s="2900"/>
      <c r="E11" s="2572" t="e">
        <f t="shared" ca="1" si="0"/>
        <v>#REF!</v>
      </c>
    </row>
    <row r="12" spans="1:5" ht="15.75">
      <c r="A12" s="2903"/>
      <c r="B12" s="2899" t="e">
        <f t="shared" ca="1" si="1"/>
        <v>#REF!</v>
      </c>
      <c r="C12" s="2898" t="s">
        <v>2992</v>
      </c>
      <c r="D12" s="2900"/>
      <c r="E12" s="2572" t="e">
        <f t="shared" ca="1" si="0"/>
        <v>#REF!</v>
      </c>
    </row>
    <row r="13" spans="1:5" ht="15.75">
      <c r="A13" s="2903"/>
      <c r="B13" s="2899" t="e">
        <f t="shared" ca="1" si="1"/>
        <v>#REF!</v>
      </c>
      <c r="C13" s="2898" t="s">
        <v>2992</v>
      </c>
      <c r="D13" s="2900"/>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6" t="s">
        <v>1145</v>
      </c>
      <c r="C1" s="3296"/>
      <c r="D1" s="3296"/>
      <c r="E1" s="3296"/>
      <c r="F1" s="3296"/>
      <c r="G1" s="3292" t="s">
        <v>1146</v>
      </c>
      <c r="H1" s="3292"/>
      <c r="I1" s="3292"/>
      <c r="J1" s="3292"/>
      <c r="K1" s="3292"/>
      <c r="L1" s="3292"/>
      <c r="N1" s="3292" t="s">
        <v>1147</v>
      </c>
      <c r="O1" s="3292"/>
      <c r="P1" s="3292"/>
      <c r="Q1" s="3292"/>
      <c r="R1" s="1446"/>
      <c r="S1" s="3292" t="s">
        <v>1148</v>
      </c>
      <c r="T1" s="3292"/>
      <c r="U1" s="3292"/>
      <c r="V1" s="3292"/>
      <c r="X1" s="3291" t="s">
        <v>1149</v>
      </c>
      <c r="Y1" s="3292"/>
      <c r="Z1" s="3292"/>
      <c r="AA1" s="3292"/>
      <c r="AB1" s="3292"/>
      <c r="AD1" s="3291" t="s">
        <v>1150</v>
      </c>
      <c r="AE1" s="3292"/>
      <c r="AF1" s="3292"/>
      <c r="AG1" s="3292"/>
      <c r="AH1" s="3292"/>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4" customFormat="1" ht="14.25">
      <c r="A3" s="2923" t="s">
        <v>3034</v>
      </c>
      <c r="B3" s="2915"/>
      <c r="C3" s="2915"/>
      <c r="D3" s="2916"/>
      <c r="E3" s="2916"/>
      <c r="F3" s="2915"/>
      <c r="G3" s="2917"/>
      <c r="H3" s="2918"/>
      <c r="I3" s="2919">
        <f>ROUND(AVERAGE($I4:$I29),2)</f>
        <v>1.9</v>
      </c>
      <c r="J3" s="2919">
        <f>ROUND(AVERAGE($J4:$J29),2)</f>
        <v>1.35</v>
      </c>
      <c r="K3" s="2919">
        <f>ROUND(AVERAGE($K4:$K29),2)</f>
        <v>2.08</v>
      </c>
      <c r="L3" s="2919">
        <f>ROUND(AVERAGE($L4:$L29),2)</f>
        <v>1.33</v>
      </c>
      <c r="N3" s="2917"/>
      <c r="O3" s="2920"/>
      <c r="P3" s="2920"/>
      <c r="Q3" s="2920"/>
      <c r="R3" s="2920"/>
      <c r="S3" s="2917"/>
      <c r="T3" s="2920"/>
      <c r="U3" s="2920"/>
      <c r="V3" s="2920"/>
      <c r="W3" s="2912"/>
      <c r="X3" s="2921">
        <f>ROUND(SUMPRODUCT(PRODUCT(1+N3:N$28)),4)</f>
        <v>1.5516000000000001</v>
      </c>
      <c r="Y3" s="2921">
        <f>ROUND(SUMPRODUCT(PRODUCT(1+O3:O$28)),4)</f>
        <v>1.3649</v>
      </c>
      <c r="Z3" s="2921">
        <f t="shared" ref="Z3:Z26" si="0">Y3</f>
        <v>1.3649</v>
      </c>
      <c r="AA3" s="2921">
        <f>ROUND(SUMPRODUCT(PRODUCT(1+P3:P$28)),4)</f>
        <v>1.6133999999999999</v>
      </c>
      <c r="AB3" s="2921">
        <f>ROUND(SUMPRODUCT(PRODUCT(1+Q3:Q$28)),4)</f>
        <v>1.3713</v>
      </c>
      <c r="AD3" s="2922">
        <f>ROUND(AVERAGE(I3:I$29)/100,4)</f>
        <v>1.9E-2</v>
      </c>
      <c r="AE3" s="2922">
        <f>ROUND(AVERAGE(J3:J$29)/100,4)</f>
        <v>1.35E-2</v>
      </c>
      <c r="AF3" s="2922">
        <f t="shared" ref="AF3:AF27" si="1">AE3</f>
        <v>1.35E-2</v>
      </c>
      <c r="AG3" s="2922">
        <f>ROUND(AVERAGE(K3:K$29)/100,4)</f>
        <v>2.0799999999999999E-2</v>
      </c>
      <c r="AH3" s="2922">
        <f>ROUND(AVERAGE(L3:L$29)/100,4)</f>
        <v>1.3299999999999999E-2</v>
      </c>
    </row>
    <row r="4" spans="1:34" s="1453" customFormat="1" ht="14.25">
      <c r="B4" s="1454"/>
      <c r="C4" s="1454"/>
      <c r="D4" s="1455"/>
      <c r="E4" s="1455"/>
      <c r="F4" s="1454"/>
      <c r="G4" s="1456"/>
      <c r="H4" s="1457"/>
      <c r="I4" s="2909"/>
      <c r="J4" s="2909"/>
      <c r="K4" s="2909"/>
      <c r="L4" s="2909"/>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3053</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48">
        <v>2020</v>
      </c>
      <c r="H5" s="1730">
        <v>1</v>
      </c>
      <c r="I5" s="2910">
        <v>0</v>
      </c>
      <c r="J5" s="2910">
        <v>0</v>
      </c>
      <c r="K5" s="2910">
        <v>0</v>
      </c>
      <c r="L5" s="2910">
        <v>0</v>
      </c>
      <c r="N5" s="1467">
        <f t="shared" ref="N5" si="7">I5/100</f>
        <v>0</v>
      </c>
      <c r="O5" s="1467">
        <f t="shared" ref="O5" si="8">J5/100</f>
        <v>0</v>
      </c>
      <c r="P5" s="1467">
        <f t="shared" ref="P5" si="9">K5/100</f>
        <v>0</v>
      </c>
      <c r="Q5" s="1467">
        <f t="shared" ref="Q5" si="10">L5/100</f>
        <v>0</v>
      </c>
      <c r="R5" s="1732"/>
      <c r="S5" s="1733"/>
      <c r="T5" s="1732"/>
      <c r="U5" s="1732"/>
      <c r="V5" s="1732"/>
      <c r="W5" s="2913" t="s">
        <v>3035</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3052</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48">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6" customFormat="1" ht="13.5" thickBot="1">
      <c r="A7" s="1461" t="s">
        <v>3048</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47">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6" customFormat="1">
      <c r="A8" s="1461" t="s">
        <v>3046</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3">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6" customFormat="1" ht="13.5" thickBot="1">
      <c r="A9" s="1461" t="s">
        <v>3044</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27">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6" customFormat="1">
      <c r="A10" s="1461" t="s">
        <v>3047</v>
      </c>
      <c r="B10" s="2944">
        <f t="shared" ref="B10" si="57">B11*(1+N10)</f>
        <v>464.37293017158942</v>
      </c>
      <c r="C10" s="2944">
        <f t="shared" ref="C10" si="58">C11*(1+O10)</f>
        <v>344.73679941385956</v>
      </c>
      <c r="D10" s="2944">
        <f t="shared" ref="D10" si="59">C10</f>
        <v>344.73679941385956</v>
      </c>
      <c r="E10" s="2944">
        <f t="shared" ref="E10" si="60">E11*(1+P10)</f>
        <v>663.2377795103107</v>
      </c>
      <c r="F10" s="2945">
        <f t="shared" ref="F10" si="61">F11*(1+Q10)</f>
        <v>304.75936311478398</v>
      </c>
      <c r="G10" s="3294">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6" customFormat="1" ht="14.45" customHeight="1">
      <c r="A11" s="1461" t="s">
        <v>3041</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94"/>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6" customFormat="1" ht="14.45" customHeight="1">
      <c r="A12" s="1461" t="s">
        <v>3040</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94"/>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6" customFormat="1" ht="15" customHeight="1" thickBot="1">
      <c r="A13" s="1461" t="s">
        <v>3033</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301"/>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1" t="s">
        <v>3030</v>
      </c>
      <c r="B14" s="1469">
        <v>439</v>
      </c>
      <c r="C14" s="1469">
        <v>327</v>
      </c>
      <c r="D14" s="1469">
        <f>C14</f>
        <v>327</v>
      </c>
      <c r="E14" s="1469">
        <v>627</v>
      </c>
      <c r="F14" s="1470">
        <v>283</v>
      </c>
      <c r="G14" s="3297">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3031</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94"/>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94"/>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3"/>
      <c r="AD16" s="1788">
        <f>ROUND(AVERAGE(I16:I$29)/100,4)</f>
        <v>2.46E-2</v>
      </c>
      <c r="AE16" s="1788">
        <f>ROUND(AVERAGE(J16:J$29)/100,4)</f>
        <v>1.6E-2</v>
      </c>
      <c r="AF16" s="1788">
        <f t="shared" si="1"/>
        <v>1.6E-2</v>
      </c>
      <c r="AG16" s="1788">
        <f>ROUND(AVERAGE(K16:K$29)/100,4)</f>
        <v>2.75E-2</v>
      </c>
      <c r="AH16" s="1788">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301"/>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1" t="s">
        <v>154</v>
      </c>
      <c r="B18" s="1469">
        <v>392</v>
      </c>
      <c r="C18" s="1469">
        <v>302</v>
      </c>
      <c r="D18" s="1469">
        <f>C18</f>
        <v>302</v>
      </c>
      <c r="E18" s="1469">
        <v>553</v>
      </c>
      <c r="F18" s="1470">
        <v>266</v>
      </c>
      <c r="G18" s="3297">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94"/>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94"/>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95"/>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93">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94"/>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94"/>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95"/>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93">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94"/>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94"/>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95"/>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298">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99"/>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99"/>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300"/>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93">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94"/>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94"/>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295"/>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93">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94">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94">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95">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93">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94">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94">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95">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93">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94">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94">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95">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93">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94">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94">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95">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93">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94">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94">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95">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93">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94">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94">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95">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93">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94">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94">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95">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93">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94">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94">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95">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93">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94">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94">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295">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93">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94">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94">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295">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303" t="s">
        <v>3002</v>
      </c>
      <c r="D1" s="3304"/>
      <c r="E1" s="3304"/>
      <c r="F1" s="3304"/>
      <c r="G1" s="3304"/>
      <c r="H1" s="3304"/>
      <c r="I1" s="3304"/>
      <c r="J1" s="3304"/>
      <c r="K1" s="3304"/>
      <c r="L1" s="3304"/>
      <c r="M1" s="3304"/>
      <c r="N1" s="3304"/>
      <c r="O1" s="3304"/>
      <c r="P1" s="3304"/>
      <c r="Q1" s="3304"/>
      <c r="R1" s="3304"/>
      <c r="S1" s="3305"/>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3011</v>
      </c>
      <c r="B17" s="2905"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6" t="s">
        <v>3013</v>
      </c>
      <c r="E19" s="1791"/>
      <c r="F19" s="1791"/>
      <c r="G19" s="1791"/>
      <c r="H19" s="1280"/>
      <c r="I19" s="168"/>
      <c r="J19" s="168"/>
      <c r="K19" s="168"/>
      <c r="L19" s="168"/>
      <c r="M19" s="168"/>
      <c r="N19" s="168"/>
      <c r="O19" s="168"/>
      <c r="P19" s="168"/>
      <c r="Q19" s="168"/>
      <c r="R19" s="788"/>
      <c r="S19" s="138"/>
    </row>
    <row r="20" spans="1:45" ht="16.5" thickBot="1">
      <c r="A20" s="715" t="s">
        <v>3014</v>
      </c>
      <c r="B20" s="338" t="e">
        <f ca="1">IF(D20="——",S22,S22-F20)</f>
        <v>#REF!</v>
      </c>
      <c r="C20" s="168"/>
      <c r="D20" s="2907" t="s">
        <v>3015</v>
      </c>
      <c r="E20" s="1792"/>
      <c r="F20" s="1204" t="e">
        <f ca="1">SUMIF(INDIRECT("'"&amp;H20&amp;"'"&amp;"!A:A"),"承租人权益价值",INDIRECT("'"&amp;H20&amp;"'"&amp;"!c:c"))</f>
        <v>#REF!</v>
      </c>
      <c r="G20" s="1204" t="s">
        <v>3016</v>
      </c>
      <c r="H20" s="2908"/>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082" t="s">
        <v>33</v>
      </c>
      <c r="D22" s="3083"/>
      <c r="E22" s="3083"/>
      <c r="F22" s="3083"/>
      <c r="G22" s="3083"/>
      <c r="H22" s="3083"/>
      <c r="I22" s="3083"/>
      <c r="J22" s="3083"/>
      <c r="K22" s="3083"/>
      <c r="L22" s="3083"/>
      <c r="M22" s="3083"/>
      <c r="N22" s="3083"/>
      <c r="O22" s="3083"/>
      <c r="P22" s="3083"/>
      <c r="Q22" s="3302"/>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6"/>
      <c r="C2" s="2986"/>
      <c r="D2" s="2986"/>
      <c r="E2" s="2986"/>
    </row>
    <row r="3" spans="1:5" ht="18">
      <c r="A3" s="2987" t="str">
        <f>IF(项目基本情况!B9="房地产市场价值","估价结果一览表（市场价值不需“结果表-1”）","估价结果一览表")</f>
        <v>估价结果一览表</v>
      </c>
      <c r="B3" s="2987"/>
      <c r="C3" s="2987"/>
      <c r="D3" s="2987"/>
      <c r="E3" s="2987"/>
    </row>
    <row r="4" spans="1:5" ht="19.5" thickBot="1">
      <c r="A4" s="1959"/>
      <c r="B4" s="2985" t="s">
        <v>1624</v>
      </c>
      <c r="C4" s="2985"/>
      <c r="D4" s="2985"/>
      <c r="E4" s="1959"/>
    </row>
    <row r="5" spans="1:5" ht="16.5" thickTop="1">
      <c r="A5" s="1957"/>
      <c r="B5" s="2983" t="s">
        <v>1616</v>
      </c>
      <c r="C5" s="1960" t="s">
        <v>1617</v>
      </c>
      <c r="D5" s="1040">
        <f ca="1">结果表!H101</f>
        <v>155579</v>
      </c>
      <c r="E5" s="1957"/>
    </row>
    <row r="6" spans="1:5" ht="15.75">
      <c r="A6" s="1957"/>
      <c r="B6" s="2983"/>
      <c r="C6" s="1960" t="s">
        <v>1618</v>
      </c>
      <c r="D6" s="1040" t="str">
        <f ca="1">NUMBERSTRING(INT(D5*10000),2)&amp;"元整"</f>
        <v>壹拾伍亿伍仟伍佰柒拾玖万元整</v>
      </c>
      <c r="E6" s="1957"/>
    </row>
    <row r="7" spans="1:5" ht="15.75">
      <c r="A7" s="1957"/>
      <c r="B7" s="2988"/>
      <c r="C7" s="1961" t="s">
        <v>1619</v>
      </c>
      <c r="D7" s="1041">
        <f ca="1">结果表!H102</f>
        <v>30310</v>
      </c>
      <c r="E7" s="1957"/>
    </row>
    <row r="8" spans="1:5" ht="15.75">
      <c r="A8" s="1957"/>
      <c r="B8" s="2989" t="str">
        <f>结果表!E103</f>
        <v>2.估价师知悉的法定优先受偿款</v>
      </c>
      <c r="C8" s="1962" t="s">
        <v>1620</v>
      </c>
      <c r="D8" s="1041">
        <f>结果表!H103</f>
        <v>0</v>
      </c>
      <c r="E8" s="1957"/>
    </row>
    <row r="9" spans="1:5" ht="15.75">
      <c r="A9" s="1957"/>
      <c r="B9" s="2991"/>
      <c r="C9" s="1960" t="s">
        <v>1618</v>
      </c>
      <c r="D9" s="1040" t="str">
        <f>NUMBERSTRING(INT(D8*10000),2)&amp;"元整"</f>
        <v>零元整</v>
      </c>
      <c r="E9" s="1957"/>
    </row>
    <row r="10" spans="1:5" ht="15">
      <c r="A10" s="1957"/>
      <c r="B10" s="1963" t="s">
        <v>1623</v>
      </c>
      <c r="C10" s="1964" t="s">
        <v>1621</v>
      </c>
      <c r="D10" s="1042">
        <f>结果表!H104</f>
        <v>0</v>
      </c>
      <c r="E10" s="1957"/>
    </row>
    <row r="11" spans="1:5" ht="15">
      <c r="A11" s="1957"/>
      <c r="B11" s="1963" t="s">
        <v>1625</v>
      </c>
      <c r="C11" s="1964" t="s">
        <v>1626</v>
      </c>
      <c r="D11" s="1042">
        <f>结果表!H105</f>
        <v>0</v>
      </c>
      <c r="E11" s="1957"/>
    </row>
    <row r="12" spans="1:5" ht="15">
      <c r="A12" s="1957"/>
      <c r="B12" s="1963" t="s">
        <v>1627</v>
      </c>
      <c r="C12" s="1964" t="s">
        <v>1626</v>
      </c>
      <c r="D12" s="1042">
        <f>结果表!H106</f>
        <v>0</v>
      </c>
      <c r="E12" s="1957"/>
    </row>
    <row r="13" spans="1:5" ht="15.75">
      <c r="A13" s="1957"/>
      <c r="B13" s="2982" t="str">
        <f>结果表!E107</f>
        <v>3.房地产抵押价值</v>
      </c>
      <c r="C13" s="1965" t="s">
        <v>1617</v>
      </c>
      <c r="D13" s="1043">
        <f ca="1">结果表!H107</f>
        <v>155579</v>
      </c>
      <c r="E13" s="1957"/>
    </row>
    <row r="14" spans="1:5" ht="15.75">
      <c r="A14" s="1957"/>
      <c r="B14" s="2983"/>
      <c r="C14" s="1960" t="s">
        <v>1618</v>
      </c>
      <c r="D14" s="1040" t="str">
        <f ca="1">NUMBERSTRING(INT(D13*10000),2)&amp;"元整"</f>
        <v>壹拾伍亿伍仟伍佰柒拾玖万元整</v>
      </c>
      <c r="E14" s="1957"/>
    </row>
    <row r="15" spans="1:5" ht="15">
      <c r="A15" s="1957"/>
      <c r="B15" s="2988"/>
      <c r="C15" s="1961" t="s">
        <v>1628</v>
      </c>
      <c r="D15" s="1052">
        <f ca="1">结果表!H108</f>
        <v>30310</v>
      </c>
      <c r="E15" s="1957"/>
    </row>
    <row r="16" spans="1:5" ht="15">
      <c r="A16" s="1957"/>
      <c r="B16" s="2989" t="str">
        <f>结果表!E109</f>
        <v>——</v>
      </c>
      <c r="C16" s="1965" t="s">
        <v>1629</v>
      </c>
      <c r="D16" s="1966" t="str">
        <f>结果表!H109</f>
        <v>——</v>
      </c>
      <c r="E16" s="1957"/>
    </row>
    <row r="17" spans="1:5" ht="15.75">
      <c r="A17" s="1957"/>
      <c r="B17" s="2990"/>
      <c r="C17" s="1960" t="s">
        <v>1630</v>
      </c>
      <c r="D17" s="1040" t="e">
        <f>NUMBERSTRING(INT(D16*10000),2)&amp;"元整"</f>
        <v>#VALUE!</v>
      </c>
      <c r="E17" s="1957"/>
    </row>
    <row r="18" spans="1:5" ht="15">
      <c r="A18" s="1957"/>
      <c r="B18" s="2991"/>
      <c r="C18" s="1961" t="s">
        <v>1619</v>
      </c>
      <c r="D18" s="1052" t="str">
        <f>结果表!H110</f>
        <v>——</v>
      </c>
      <c r="E18" s="1957"/>
    </row>
    <row r="19" spans="1:5" ht="15.75">
      <c r="A19" s="1957"/>
      <c r="B19" s="2982" t="str">
        <f>结果表!E111</f>
        <v>——</v>
      </c>
      <c r="C19" s="1965" t="s">
        <v>1617</v>
      </c>
      <c r="D19" s="1041" t="str">
        <f>结果表!H111</f>
        <v>——</v>
      </c>
      <c r="E19" s="1957"/>
    </row>
    <row r="20" spans="1:5" ht="15.75">
      <c r="A20" s="1957"/>
      <c r="B20" s="2983"/>
      <c r="C20" s="1960" t="s">
        <v>1630</v>
      </c>
      <c r="D20" s="1040" t="e">
        <f>NUMBERSTRING(INT(D19*10000),2)&amp;"元整"</f>
        <v>#VALUE!</v>
      </c>
      <c r="E20" s="1957"/>
    </row>
    <row r="21" spans="1:5" ht="15.75" thickBot="1">
      <c r="A21" s="1957"/>
      <c r="B21" s="2984"/>
      <c r="C21" s="1967" t="s">
        <v>1628</v>
      </c>
      <c r="D21" s="1053" t="str">
        <f>结果表!H112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73002</v>
      </c>
      <c r="C2" s="2" t="s">
        <v>133</v>
      </c>
      <c r="D2" s="243"/>
      <c r="E2" s="243"/>
      <c r="F2" s="243"/>
      <c r="G2" s="243"/>
    </row>
    <row r="3" spans="1:7" s="244" customFormat="1" ht="18" customHeight="1" thickBot="1">
      <c r="A3" s="247" t="s">
        <v>85</v>
      </c>
      <c r="B3" s="248">
        <f ca="1">ROUND(B2*10000/'数据-汇总表'!E3,0)</f>
        <v>14222</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1027</v>
      </c>
      <c r="D10" s="1032">
        <f>'数据-汇总表'!E6</f>
        <v>51328.59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1027</v>
      </c>
      <c r="D19" s="1036">
        <f>'数据-汇总表'!E3</f>
        <v>51328.59</v>
      </c>
      <c r="E19" s="255">
        <f>'数据-取费表'!B31</f>
        <v>200</v>
      </c>
      <c r="F19" s="275"/>
      <c r="G19" s="1" t="s">
        <v>1070</v>
      </c>
    </row>
    <row r="20" spans="1:7" s="258" customFormat="1" ht="13.5" customHeight="1">
      <c r="A20" s="948" t="s">
        <v>1053</v>
      </c>
      <c r="B20" s="254" t="s">
        <v>104</v>
      </c>
      <c r="C20" s="276">
        <f>ROUND((C5+C19)*F20,0)</f>
        <v>433</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2125</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100</v>
      </c>
      <c r="D24" s="282"/>
      <c r="E24" s="282"/>
      <c r="F24" s="283"/>
      <c r="G24" s="284" t="s">
        <v>109</v>
      </c>
    </row>
    <row r="25" spans="1:7" s="258" customFormat="1" ht="24">
      <c r="A25" s="951" t="s">
        <v>793</v>
      </c>
      <c r="B25" s="259" t="s">
        <v>1054</v>
      </c>
      <c r="C25" s="1355">
        <f ca="1">ROUND(IF('数据-取费表'!B22&lt;=1,C20*F22*'数据-取费表'!B23/2,C20*(POWER((1+F22),'数据-取费表'!B23/2)-1)),0)</f>
        <v>21</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3311</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3311</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29811</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37501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34903</v>
      </c>
      <c r="D34" s="261"/>
      <c r="E34" s="264"/>
      <c r="F34" s="301">
        <f>IF('数据-取费表'!B24=0,1,'数据-取费表'!N16)</f>
        <v>1</v>
      </c>
      <c r="G34" s="263" t="s">
        <v>116</v>
      </c>
    </row>
    <row r="35" spans="1:7" ht="13.5" customHeight="1">
      <c r="A35" s="951" t="s">
        <v>796</v>
      </c>
      <c r="B35" s="259" t="s">
        <v>60</v>
      </c>
      <c r="C35" s="264">
        <f>ROUND(C34*F35,0)</f>
        <v>1047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1027</v>
      </c>
      <c r="D37" s="261">
        <f>'数据-汇总表'!E3</f>
        <v>51328.59</v>
      </c>
      <c r="E37" s="293">
        <f>'数据-取费表'!B35</f>
        <v>200</v>
      </c>
      <c r="F37" s="303"/>
      <c r="G37" s="305" t="s">
        <v>119</v>
      </c>
    </row>
    <row r="38" spans="1:7" ht="13.5" customHeight="1">
      <c r="A38" s="951" t="s">
        <v>799</v>
      </c>
      <c r="B38" s="259" t="s">
        <v>63</v>
      </c>
      <c r="C38" s="264">
        <f>ROUND(C34*F38,0)</f>
        <v>524</v>
      </c>
      <c r="D38" s="264"/>
      <c r="E38" s="264"/>
      <c r="F38" s="303">
        <f>'数据-取费表'!B36</f>
        <v>1.4999999999999999E-2</v>
      </c>
      <c r="G38" s="263" t="s">
        <v>117</v>
      </c>
    </row>
    <row r="39" spans="1:7" s="258" customFormat="1" ht="13.5" customHeight="1">
      <c r="A39" s="948" t="s">
        <v>783</v>
      </c>
      <c r="B39" s="254" t="s">
        <v>104</v>
      </c>
      <c r="C39" s="276">
        <f>ROUND(C33*F20,0)</f>
        <v>750</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1817</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1781</v>
      </c>
      <c r="D42" s="282"/>
      <c r="E42" s="282"/>
      <c r="F42" s="283"/>
      <c r="G42" s="3167" t="s">
        <v>121</v>
      </c>
    </row>
    <row r="43" spans="1:7" ht="13.5" customHeight="1">
      <c r="A43" s="951" t="s">
        <v>792</v>
      </c>
      <c r="B43" s="259" t="s">
        <v>1060</v>
      </c>
      <c r="C43" s="282">
        <f ca="1">ROUND(IF('数据-取费表'!B22&lt;=1,C39*F22*'数据-取费表'!B21/2,C39*(POWER((1+F22),'数据-取费表'!B21/2)-1)),0)</f>
        <v>36</v>
      </c>
      <c r="D43" s="282"/>
      <c r="E43" s="282"/>
      <c r="F43" s="283"/>
      <c r="G43" s="3168"/>
    </row>
    <row r="44" spans="1:7" ht="13.5" customHeight="1">
      <c r="A44" s="951" t="s">
        <v>793</v>
      </c>
      <c r="B44" s="259" t="s">
        <v>1062</v>
      </c>
      <c r="C44" s="282">
        <f ca="1">ROUND(IF('数据-取费表'!B22&lt;=1,C40*F22*'数据-取费表'!B21/2,C40*(POWER((1+F22),'数据-取费表'!B21/2)-1)),4)</f>
        <v>1E-3</v>
      </c>
      <c r="D44" s="282"/>
      <c r="E44" s="282"/>
      <c r="F44" s="283"/>
      <c r="G44" s="3169"/>
    </row>
    <row r="45" spans="1:7" s="258" customFormat="1" ht="13.5" customHeight="1">
      <c r="A45" s="948" t="s">
        <v>786</v>
      </c>
      <c r="B45" s="288" t="s">
        <v>112</v>
      </c>
      <c r="C45" s="289">
        <f>C46</f>
        <v>5738</v>
      </c>
      <c r="D45" s="279">
        <f>C47</f>
        <v>3.0000000000000001E-3</v>
      </c>
      <c r="E45" s="280" t="s">
        <v>129</v>
      </c>
      <c r="F45" s="290"/>
      <c r="G45" s="291" t="s">
        <v>1068</v>
      </c>
    </row>
    <row r="46" spans="1:7" s="258" customFormat="1" ht="13.5" customHeight="1">
      <c r="A46" s="951" t="s">
        <v>794</v>
      </c>
      <c r="B46" s="292" t="s">
        <v>1061</v>
      </c>
      <c r="C46" s="293">
        <f>ROUND((C33+C39)*F27,0)</f>
        <v>5738</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49645</v>
      </c>
      <c r="D49" s="276"/>
      <c r="E49" s="276"/>
      <c r="F49" s="308"/>
      <c r="G49" s="278" t="s">
        <v>1069</v>
      </c>
    </row>
    <row r="50" spans="1:7" s="302" customFormat="1" ht="24">
      <c r="A50" s="948" t="s">
        <v>789</v>
      </c>
      <c r="B50" s="254" t="s">
        <v>124</v>
      </c>
      <c r="C50" s="276"/>
      <c r="D50" s="276"/>
      <c r="E50" s="276"/>
      <c r="F50" s="308">
        <f>IF('数据-取费表'!B24=0,'数据-取费表'!N16,1)</f>
        <v>0.87</v>
      </c>
      <c r="G50" s="291" t="s">
        <v>125</v>
      </c>
    </row>
    <row r="51" spans="1:7" ht="16.5" customHeight="1">
      <c r="A51" s="948" t="s">
        <v>790</v>
      </c>
      <c r="B51" s="254" t="s">
        <v>132</v>
      </c>
      <c r="C51" s="276">
        <f ca="1">ROUND(C49*F50,0)</f>
        <v>43191</v>
      </c>
      <c r="D51" s="276"/>
      <c r="E51" s="276"/>
      <c r="F51" s="308"/>
      <c r="G51" s="278" t="s">
        <v>64</v>
      </c>
    </row>
    <row r="52" spans="1:7" s="252" customFormat="1" ht="16.5" thickBot="1">
      <c r="A52" s="309" t="s">
        <v>65</v>
      </c>
      <c r="B52" s="310"/>
      <c r="C52" s="311">
        <f ca="1">C31+C51</f>
        <v>73002</v>
      </c>
      <c r="D52" s="310"/>
      <c r="E52" s="310"/>
      <c r="F52" s="310"/>
      <c r="G52" s="312"/>
    </row>
    <row r="55" spans="1:7" ht="15">
      <c r="B55" s="314" t="s">
        <v>66</v>
      </c>
      <c r="C55" s="315"/>
    </row>
    <row r="56" spans="1:7">
      <c r="B56" s="317" t="s">
        <v>67</v>
      </c>
      <c r="C56" s="318">
        <f ca="1">ROUND(C51/C52,3)</f>
        <v>0.59199999999999997</v>
      </c>
    </row>
    <row r="57" spans="1:7">
      <c r="B57" s="317" t="s">
        <v>68</v>
      </c>
      <c r="C57" s="319">
        <f ca="1">1-C56</f>
        <v>0.40800000000000003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6" t="s">
        <v>156</v>
      </c>
      <c r="B1" s="3306"/>
      <c r="C1" s="3306"/>
      <c r="D1" s="3306"/>
      <c r="E1" s="3306"/>
      <c r="F1" s="330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7" t="s">
        <v>169</v>
      </c>
      <c r="B2" s="3307"/>
      <c r="C2" s="3307"/>
      <c r="D2" s="3307"/>
      <c r="E2" s="3307"/>
      <c r="F2" s="330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6" t="s">
        <v>867</v>
      </c>
      <c r="B1" s="3306"/>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43902</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4"/>
  <sheetViews>
    <sheetView workbookViewId="0">
      <selection activeCell="H12" sqref="H12"/>
    </sheetView>
  </sheetViews>
  <sheetFormatPr defaultRowHeight="13.5"/>
  <sheetData>
    <row r="2" spans="2:6">
      <c r="B2" s="2949"/>
      <c r="C2" s="2949"/>
      <c r="D2" s="2949"/>
      <c r="E2" s="2950"/>
      <c r="F2" s="2951"/>
    </row>
    <row r="3" spans="2:6" ht="15">
      <c r="B3" s="2952"/>
      <c r="C3" s="2953"/>
      <c r="D3" s="2954"/>
      <c r="E3" s="2955"/>
      <c r="F3" s="2951"/>
    </row>
    <row r="4" spans="2:6" ht="15">
      <c r="B4" s="2952"/>
      <c r="C4" s="2953"/>
      <c r="D4" s="2954"/>
      <c r="E4" s="2955"/>
      <c r="F4" s="2951"/>
    </row>
    <row r="5" spans="2:6" ht="15">
      <c r="B5" s="2952"/>
      <c r="C5" s="2953"/>
      <c r="D5" s="2954"/>
      <c r="E5" s="2955"/>
      <c r="F5" s="2951"/>
    </row>
    <row r="6" spans="2:6" ht="15">
      <c r="B6" s="2952"/>
      <c r="C6" s="2953"/>
      <c r="D6" s="2954"/>
      <c r="E6" s="2955"/>
      <c r="F6" s="2951"/>
    </row>
    <row r="7" spans="2:6" ht="15">
      <c r="B7" s="2952"/>
      <c r="C7" s="2953"/>
      <c r="D7" s="2954"/>
      <c r="E7" s="2955"/>
      <c r="F7" s="2951"/>
    </row>
    <row r="8" spans="2:6" ht="15">
      <c r="B8" s="2952"/>
      <c r="C8" s="2953"/>
      <c r="D8" s="2954"/>
      <c r="E8" s="2955"/>
      <c r="F8" s="2951"/>
    </row>
    <row r="9" spans="2:6" ht="15">
      <c r="B9" s="2952"/>
      <c r="C9" s="2953"/>
      <c r="D9" s="2954"/>
      <c r="E9" s="2955"/>
      <c r="F9" s="2951"/>
    </row>
    <row r="10" spans="2:6" ht="15">
      <c r="B10" s="2952"/>
      <c r="C10" s="2953"/>
      <c r="D10" s="2954"/>
      <c r="E10" s="2955"/>
      <c r="F10" s="2951"/>
    </row>
    <row r="11" spans="2:6" ht="15">
      <c r="B11" s="2952"/>
      <c r="C11" s="2953"/>
      <c r="D11" s="2954"/>
      <c r="E11" s="2955"/>
      <c r="F11" s="2951"/>
    </row>
    <row r="12" spans="2:6" ht="15">
      <c r="B12" s="2952"/>
      <c r="C12" s="2953"/>
      <c r="D12" s="2954"/>
      <c r="E12" s="2955"/>
      <c r="F12" s="2951"/>
    </row>
    <row r="13" spans="2:6" ht="15">
      <c r="B13" s="2952"/>
      <c r="C13" s="2953"/>
      <c r="D13" s="2954"/>
      <c r="E13" s="2955"/>
      <c r="F13" s="2951"/>
    </row>
    <row r="14" spans="2:6" ht="15">
      <c r="B14" s="2952"/>
      <c r="C14" s="2953"/>
      <c r="D14" s="2954"/>
      <c r="E14" s="2955"/>
      <c r="F14" s="2951"/>
    </row>
    <row r="15" spans="2:6" ht="15">
      <c r="B15" s="2952"/>
      <c r="C15" s="2953"/>
      <c r="D15" s="2954"/>
      <c r="E15" s="2955"/>
      <c r="F15" s="2951"/>
    </row>
    <row r="16" spans="2:6" ht="15">
      <c r="B16" s="2952"/>
      <c r="C16" s="2953"/>
      <c r="D16" s="2954"/>
      <c r="E16" s="2955"/>
      <c r="F16" s="2951"/>
    </row>
    <row r="17" spans="2:6" ht="15">
      <c r="B17" s="2952"/>
      <c r="C17" s="2953"/>
      <c r="D17" s="2954"/>
      <c r="E17" s="2955"/>
      <c r="F17" s="2951"/>
    </row>
    <row r="18" spans="2:6" ht="15">
      <c r="B18" s="2952"/>
      <c r="C18" s="2953"/>
      <c r="D18" s="2954"/>
      <c r="E18" s="2955"/>
      <c r="F18" s="2951"/>
    </row>
    <row r="19" spans="2:6" ht="15">
      <c r="B19" s="2952"/>
      <c r="C19" s="2953"/>
      <c r="D19" s="2954"/>
      <c r="E19" s="2955"/>
      <c r="F19" s="2951"/>
    </row>
    <row r="20" spans="2:6" ht="15">
      <c r="B20" s="2952"/>
      <c r="C20" s="2953"/>
      <c r="D20" s="2954"/>
      <c r="E20" s="2955"/>
      <c r="F20" s="2951"/>
    </row>
    <row r="21" spans="2:6" ht="15">
      <c r="B21" s="2952"/>
      <c r="C21" s="2953"/>
      <c r="D21" s="2954"/>
      <c r="E21" s="2955"/>
      <c r="F21" s="2951"/>
    </row>
    <row r="22" spans="2:6" ht="15">
      <c r="B22" s="2952"/>
      <c r="C22" s="2953"/>
      <c r="D22" s="2954"/>
      <c r="E22" s="2955"/>
      <c r="F22" s="2951"/>
    </row>
    <row r="23" spans="2:6" ht="15">
      <c r="B23" s="2952"/>
      <c r="C23" s="2953"/>
      <c r="D23" s="2954"/>
      <c r="E23" s="2955"/>
      <c r="F23" s="2951"/>
    </row>
    <row r="24" spans="2:6" ht="15">
      <c r="B24" s="2952"/>
      <c r="C24" s="2953"/>
      <c r="D24" s="2954"/>
      <c r="E24" s="2955"/>
      <c r="F24" s="2951"/>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4"/>
  <sheetViews>
    <sheetView workbookViewId="0">
      <selection activeCell="H24" sqref="H24"/>
    </sheetView>
  </sheetViews>
  <sheetFormatPr defaultRowHeight="13.5"/>
  <sheetData>
    <row r="1" spans="2:6" ht="14.25" thickBot="1"/>
    <row r="2" spans="2:6" ht="18" thickBot="1">
      <c r="B2" s="2961" t="s">
        <v>3096</v>
      </c>
      <c r="C2" s="2962" t="s">
        <v>3097</v>
      </c>
      <c r="D2" s="2962" t="s">
        <v>3098</v>
      </c>
      <c r="E2" s="2963" t="s">
        <v>3099</v>
      </c>
    </row>
    <row r="3" spans="2:6" ht="15.75" thickBot="1">
      <c r="B3" s="2964" t="s">
        <v>3100</v>
      </c>
      <c r="C3" s="2965" t="s">
        <v>3101</v>
      </c>
      <c r="D3" s="2966" t="s">
        <v>3102</v>
      </c>
      <c r="E3" s="2967" t="s">
        <v>3103</v>
      </c>
      <c r="F3">
        <f>1175.3*10</f>
        <v>11753</v>
      </c>
    </row>
    <row r="4" spans="2:6" ht="15.75" thickBot="1">
      <c r="B4" s="2964">
        <v>15</v>
      </c>
      <c r="C4" s="2965">
        <v>1174.5999999999999</v>
      </c>
      <c r="D4" s="2966" t="s">
        <v>3102</v>
      </c>
      <c r="E4" s="2967">
        <v>751</v>
      </c>
      <c r="F4">
        <f>C4</f>
        <v>1174.5999999999999</v>
      </c>
    </row>
    <row r="5" spans="2:6" ht="15.75" thickBot="1">
      <c r="B5" s="2964">
        <v>14</v>
      </c>
      <c r="C5" s="2965">
        <v>1169.8</v>
      </c>
      <c r="D5" s="2966" t="s">
        <v>3102</v>
      </c>
      <c r="E5" s="2967">
        <v>751</v>
      </c>
      <c r="F5">
        <f t="shared" ref="F5:F24" si="0">C5</f>
        <v>1169.8</v>
      </c>
    </row>
    <row r="6" spans="2:6" ht="15.75" thickBot="1">
      <c r="B6" s="2964">
        <v>13</v>
      </c>
      <c r="C6" s="2965">
        <v>1163.8</v>
      </c>
      <c r="D6" s="2966" t="s">
        <v>3102</v>
      </c>
      <c r="E6" s="2967">
        <v>748</v>
      </c>
      <c r="F6">
        <f t="shared" si="0"/>
        <v>1163.8</v>
      </c>
    </row>
    <row r="7" spans="2:6" ht="15.75" thickBot="1">
      <c r="B7" s="2964">
        <v>12</v>
      </c>
      <c r="C7" s="2965">
        <v>1155.7</v>
      </c>
      <c r="D7" s="2966" t="s">
        <v>3102</v>
      </c>
      <c r="E7" s="2967">
        <v>748</v>
      </c>
      <c r="F7">
        <f t="shared" si="0"/>
        <v>1155.7</v>
      </c>
    </row>
    <row r="8" spans="2:6" ht="15.75" thickBot="1">
      <c r="B8" s="2964">
        <v>11</v>
      </c>
      <c r="C8" s="2965">
        <v>1146.0999999999999</v>
      </c>
      <c r="D8" s="2966" t="s">
        <v>3102</v>
      </c>
      <c r="E8" s="2967">
        <v>743</v>
      </c>
      <c r="F8">
        <f t="shared" si="0"/>
        <v>1146.0999999999999</v>
      </c>
    </row>
    <row r="9" spans="2:6" ht="15.75" thickBot="1">
      <c r="B9" s="2964">
        <v>10</v>
      </c>
      <c r="C9" s="2965">
        <v>1135.4000000000001</v>
      </c>
      <c r="D9" s="2966" t="s">
        <v>3102</v>
      </c>
      <c r="E9" s="2967">
        <v>743</v>
      </c>
      <c r="F9">
        <f t="shared" si="0"/>
        <v>1135.4000000000001</v>
      </c>
    </row>
    <row r="10" spans="2:6" ht="15.75" thickBot="1">
      <c r="B10" s="2964">
        <v>9</v>
      </c>
      <c r="C10" s="2965">
        <v>1124.5999999999999</v>
      </c>
      <c r="D10" s="2966" t="s">
        <v>3102</v>
      </c>
      <c r="E10" s="2967">
        <v>721</v>
      </c>
      <c r="F10">
        <f t="shared" si="0"/>
        <v>1124.5999999999999</v>
      </c>
    </row>
    <row r="11" spans="2:6" ht="15.75" thickBot="1">
      <c r="B11" s="2964">
        <v>8</v>
      </c>
      <c r="C11" s="2965">
        <v>1113.5999999999999</v>
      </c>
      <c r="D11" s="2966" t="s">
        <v>3102</v>
      </c>
      <c r="E11" s="2967">
        <v>721</v>
      </c>
      <c r="F11">
        <f t="shared" si="0"/>
        <v>1113.5999999999999</v>
      </c>
    </row>
    <row r="12" spans="2:6" ht="15.75" thickBot="1">
      <c r="B12" s="2964">
        <v>7</v>
      </c>
      <c r="C12" s="2965">
        <v>1103.9000000000001</v>
      </c>
      <c r="D12" s="2966" t="s">
        <v>3102</v>
      </c>
      <c r="E12" s="2967">
        <v>664</v>
      </c>
      <c r="F12">
        <f t="shared" si="0"/>
        <v>1103.9000000000001</v>
      </c>
    </row>
    <row r="13" spans="2:6" ht="15.75" thickBot="1">
      <c r="B13" s="2964">
        <v>6</v>
      </c>
      <c r="C13" s="2965">
        <v>1095.7</v>
      </c>
      <c r="D13" s="2966" t="s">
        <v>3102</v>
      </c>
      <c r="E13" s="2967">
        <v>664</v>
      </c>
      <c r="F13">
        <f t="shared" si="0"/>
        <v>1095.7</v>
      </c>
    </row>
    <row r="14" spans="2:6" ht="15.75" thickBot="1">
      <c r="B14" s="2964">
        <v>5</v>
      </c>
      <c r="C14" s="2965">
        <v>1090.5999999999999</v>
      </c>
      <c r="D14" s="2966" t="s">
        <v>3102</v>
      </c>
      <c r="E14" s="2967">
        <v>632</v>
      </c>
      <c r="F14">
        <f t="shared" si="0"/>
        <v>1090.5999999999999</v>
      </c>
    </row>
    <row r="15" spans="2:6" ht="15.75" thickBot="1">
      <c r="B15" s="2964">
        <v>4</v>
      </c>
      <c r="C15" s="2965">
        <v>1884</v>
      </c>
      <c r="D15" s="2966" t="s">
        <v>3104</v>
      </c>
      <c r="E15" s="2967">
        <v>1683</v>
      </c>
      <c r="F15">
        <f t="shared" si="0"/>
        <v>1884</v>
      </c>
    </row>
    <row r="16" spans="2:6" ht="15.75" thickBot="1">
      <c r="B16" s="2964" t="s">
        <v>3105</v>
      </c>
      <c r="C16" s="2965">
        <v>438</v>
      </c>
      <c r="D16" s="2966" t="s">
        <v>3106</v>
      </c>
      <c r="E16" s="2967">
        <v>0</v>
      </c>
    </row>
    <row r="17" spans="2:6" ht="15.75" thickBot="1">
      <c r="B17" s="2964">
        <v>3</v>
      </c>
      <c r="C17" s="2965">
        <v>2925</v>
      </c>
      <c r="D17" s="2966" t="s">
        <v>3107</v>
      </c>
      <c r="E17" s="2967">
        <v>1675</v>
      </c>
      <c r="F17">
        <f t="shared" si="0"/>
        <v>2925</v>
      </c>
    </row>
    <row r="18" spans="2:6" ht="15.75" thickBot="1">
      <c r="B18" s="2964">
        <v>2</v>
      </c>
      <c r="C18" s="2965">
        <v>2071</v>
      </c>
      <c r="D18" s="2966" t="s">
        <v>3108</v>
      </c>
      <c r="E18" s="2967">
        <v>466</v>
      </c>
      <c r="F18">
        <f t="shared" si="0"/>
        <v>2071</v>
      </c>
    </row>
    <row r="19" spans="2:6" ht="15.75" thickBot="1">
      <c r="B19" s="2964">
        <v>1</v>
      </c>
      <c r="C19" s="2965">
        <v>2987</v>
      </c>
      <c r="D19" s="2966" t="s">
        <v>3109</v>
      </c>
      <c r="E19" s="2967">
        <v>2599</v>
      </c>
      <c r="F19">
        <f t="shared" si="0"/>
        <v>2987</v>
      </c>
    </row>
    <row r="20" spans="2:6" ht="15.75" thickBot="1">
      <c r="B20" s="2964" t="s">
        <v>3110</v>
      </c>
      <c r="C20" s="2965">
        <v>312</v>
      </c>
      <c r="D20" s="2966" t="s">
        <v>3111</v>
      </c>
      <c r="E20" s="2967">
        <v>0</v>
      </c>
    </row>
    <row r="21" spans="2:6" ht="15.75" thickBot="1">
      <c r="B21" s="2964" t="s">
        <v>3112</v>
      </c>
      <c r="C21" s="2965">
        <v>4879</v>
      </c>
      <c r="D21" s="2966" t="s">
        <v>3113</v>
      </c>
      <c r="E21" s="2967">
        <v>508</v>
      </c>
      <c r="F21">
        <f t="shared" si="0"/>
        <v>4879</v>
      </c>
    </row>
    <row r="22" spans="2:6" ht="15.75" thickBot="1">
      <c r="B22" s="2964" t="s">
        <v>3114</v>
      </c>
      <c r="C22" s="2965">
        <v>4879</v>
      </c>
      <c r="D22" s="2966" t="s">
        <v>3115</v>
      </c>
      <c r="E22" s="2967">
        <v>381</v>
      </c>
      <c r="F22">
        <f t="shared" si="0"/>
        <v>4879</v>
      </c>
    </row>
    <row r="23" spans="2:6" ht="15.75" thickBot="1">
      <c r="B23" s="2964" t="s">
        <v>3116</v>
      </c>
      <c r="C23" s="2965">
        <v>4879</v>
      </c>
      <c r="D23" s="2966" t="s">
        <v>3117</v>
      </c>
      <c r="E23" s="2967">
        <v>3805</v>
      </c>
      <c r="F23">
        <f t="shared" si="0"/>
        <v>4879</v>
      </c>
    </row>
    <row r="24" spans="2:6" ht="15.75" thickBot="1">
      <c r="B24" s="2964" t="s">
        <v>3118</v>
      </c>
      <c r="C24" s="2965">
        <v>4923</v>
      </c>
      <c r="D24" s="2966" t="s">
        <v>3117</v>
      </c>
      <c r="E24" s="2967">
        <v>3846</v>
      </c>
      <c r="F24">
        <f t="shared" si="0"/>
        <v>4923</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92" t="str">
        <f>IF(项目基本情况!B9="房地产市场价值","估价结果一览表","结果表-2")</f>
        <v>结果表-2</v>
      </c>
      <c r="B1" s="2992"/>
      <c r="C1" s="2992"/>
      <c r="D1" s="2992"/>
      <c r="E1" s="2992"/>
      <c r="F1" s="2992"/>
      <c r="G1" s="2992"/>
      <c r="H1" s="2992"/>
      <c r="I1" s="2992"/>
    </row>
    <row r="2" spans="1:9" ht="30" customHeight="1" thickTop="1">
      <c r="A2" s="2993" t="s">
        <v>1635</v>
      </c>
      <c r="B2" s="2993" t="s">
        <v>1636</v>
      </c>
      <c r="C2" s="2993" t="s">
        <v>1637</v>
      </c>
      <c r="D2" s="2993" t="str">
        <f>结果表!D116</f>
        <v>出让国有建设用地使用权价值</v>
      </c>
      <c r="E2" s="2993"/>
      <c r="F2" s="2993" t="str">
        <f>结果表!F116</f>
        <v>在建建筑物价值</v>
      </c>
      <c r="G2" s="2993"/>
      <c r="H2" s="2993" t="str">
        <f>IF(项目基本情况!B9="房地产市场价值","房地产市场价值","房地产价值")</f>
        <v>房地产价值</v>
      </c>
      <c r="I2" s="2993"/>
    </row>
    <row r="3" spans="1:9" ht="15">
      <c r="A3" s="2994"/>
      <c r="B3" s="2994"/>
      <c r="C3" s="2994"/>
      <c r="D3" s="1044" t="s">
        <v>1632</v>
      </c>
      <c r="E3" s="1044" t="s">
        <v>1638</v>
      </c>
      <c r="F3" s="1044" t="s">
        <v>1632</v>
      </c>
      <c r="G3" s="1044" t="s">
        <v>1633</v>
      </c>
      <c r="H3" s="1044" t="s">
        <v>1632</v>
      </c>
      <c r="I3" s="1044" t="s">
        <v>1633</v>
      </c>
    </row>
    <row r="4" spans="1:9" ht="30">
      <c r="A4" s="1971" t="str">
        <f>项目基本情况!S2</f>
        <v>北京市朝阳区东三环北路29号楼-4至25层101号房地产</v>
      </c>
      <c r="B4" s="1044">
        <f>项目基本情况!C17</f>
        <v>51328.59</v>
      </c>
      <c r="C4" s="1044">
        <f>项目基本情况!C18</f>
        <v>7779.45</v>
      </c>
      <c r="D4" s="1044">
        <f ca="1">结果表!D118</f>
        <v>124463</v>
      </c>
      <c r="E4" s="1044">
        <f ca="1">结果表!E118</f>
        <v>24248</v>
      </c>
      <c r="F4" s="1044">
        <f ca="1">结果表!F118</f>
        <v>31116</v>
      </c>
      <c r="G4" s="1044">
        <f ca="1">结果表!G118</f>
        <v>6062</v>
      </c>
      <c r="H4" s="1044">
        <f ca="1">结果表!H118</f>
        <v>155579</v>
      </c>
      <c r="I4" s="1044">
        <f ca="1">结果表!I118</f>
        <v>30310</v>
      </c>
    </row>
    <row r="5" spans="1:9" ht="30" customHeight="1">
      <c r="A5" s="2994" t="s">
        <v>1634</v>
      </c>
      <c r="B5" s="2994"/>
      <c r="C5" s="2994"/>
      <c r="D5" s="2995" t="str">
        <f ca="1">结果表!D119</f>
        <v>壹拾贰亿肆仟肆佰陆拾叁万元整</v>
      </c>
      <c r="E5" s="2995"/>
      <c r="F5" s="2995" t="str">
        <f ca="1">结果表!F119</f>
        <v>叁亿壹仟壹佰壹拾陆万元整</v>
      </c>
      <c r="G5" s="2995"/>
      <c r="H5" s="2995" t="str">
        <f ca="1">结果表!H119</f>
        <v>壹拾伍亿伍仟伍佰柒拾玖万元整</v>
      </c>
      <c r="I5" s="2995"/>
    </row>
    <row r="6" spans="1:9" ht="15.75">
      <c r="A6" s="2996" t="str">
        <f>结果表!A120</f>
        <v>估价师知悉的法定优先受偿款</v>
      </c>
      <c r="B6" s="2996"/>
      <c r="C6" s="2996"/>
      <c r="D6" s="2996">
        <f>结果表!D120</f>
        <v>0</v>
      </c>
      <c r="E6" s="2996"/>
      <c r="F6" s="2996"/>
      <c r="G6" s="2996"/>
      <c r="H6" s="2996"/>
      <c r="I6" s="2996"/>
    </row>
    <row r="7" spans="1:9" ht="15">
      <c r="A7" s="2994" t="s">
        <v>1634</v>
      </c>
      <c r="B7" s="2994"/>
      <c r="C7" s="2994"/>
      <c r="D7" s="2997" t="str">
        <f>结果表!D121</f>
        <v>零元整</v>
      </c>
      <c r="E7" s="2998"/>
      <c r="F7" s="2998"/>
      <c r="G7" s="2998"/>
      <c r="H7" s="2998"/>
      <c r="I7" s="2999"/>
    </row>
    <row r="8" spans="1:9" ht="15.75">
      <c r="A8" s="2996" t="str">
        <f>结果表!A122</f>
        <v>房地产抵押价值</v>
      </c>
      <c r="B8" s="2996"/>
      <c r="C8" s="2996"/>
      <c r="D8" s="2996">
        <f ca="1">结果表!D122</f>
        <v>155579</v>
      </c>
      <c r="E8" s="2996"/>
      <c r="F8" s="2996"/>
      <c r="G8" s="2996"/>
      <c r="H8" s="2996"/>
      <c r="I8" s="2996"/>
    </row>
    <row r="9" spans="1:9" ht="15">
      <c r="A9" s="2994" t="s">
        <v>1634</v>
      </c>
      <c r="B9" s="2994"/>
      <c r="C9" s="2994"/>
      <c r="D9" s="2995" t="str">
        <f ca="1">结果表!D123</f>
        <v>壹拾伍亿伍仟伍佰柒拾玖万元整</v>
      </c>
      <c r="E9" s="2995"/>
      <c r="F9" s="2995"/>
      <c r="G9" s="2995"/>
      <c r="H9" s="2995"/>
      <c r="I9" s="2995"/>
    </row>
    <row r="10" spans="1:9" ht="15.75">
      <c r="A10" s="2996" t="str">
        <f>结果表!A124</f>
        <v/>
      </c>
      <c r="B10" s="2996"/>
      <c r="C10" s="2996"/>
      <c r="D10" s="2996" t="str">
        <f>结果表!D124</f>
        <v>——</v>
      </c>
      <c r="E10" s="2996"/>
      <c r="F10" s="2996"/>
      <c r="G10" s="2996"/>
      <c r="H10" s="2996"/>
      <c r="I10" s="2996"/>
    </row>
    <row r="11" spans="1:9" ht="15">
      <c r="A11" s="2994" t="s">
        <v>1634</v>
      </c>
      <c r="B11" s="2994"/>
      <c r="C11" s="2994"/>
      <c r="D11" s="2995" t="e">
        <f>结果表!D125</f>
        <v>#VALUE!</v>
      </c>
      <c r="E11" s="2995"/>
      <c r="F11" s="2995"/>
      <c r="G11" s="2995"/>
      <c r="H11" s="2995"/>
      <c r="I11" s="2995"/>
    </row>
    <row r="12" spans="1:9" ht="15.75">
      <c r="A12" s="2996" t="str">
        <f>结果表!A126</f>
        <v/>
      </c>
      <c r="B12" s="2996"/>
      <c r="C12" s="2996"/>
      <c r="D12" s="2996" t="str">
        <f>结果表!D126</f>
        <v>——</v>
      </c>
      <c r="E12" s="2996"/>
      <c r="F12" s="2996"/>
      <c r="G12" s="2996"/>
      <c r="H12" s="2996"/>
      <c r="I12" s="2996"/>
    </row>
    <row r="13" spans="1:9" ht="15.75" thickBot="1">
      <c r="A13" s="3000" t="s">
        <v>1634</v>
      </c>
      <c r="B13" s="3000"/>
      <c r="C13" s="3000"/>
      <c r="D13" s="3001" t="e">
        <f>结果表!D127</f>
        <v>#VALUE!</v>
      </c>
      <c r="E13" s="3001"/>
      <c r="F13" s="3001"/>
      <c r="G13" s="3001"/>
      <c r="H13" s="3001"/>
      <c r="I13" s="3001"/>
    </row>
    <row r="14" spans="1:9" ht="15" thickTop="1">
      <c r="A14" s="3002" t="s">
        <v>1639</v>
      </c>
      <c r="B14" s="3002"/>
      <c r="C14" s="3002"/>
      <c r="D14" s="3002"/>
      <c r="E14" s="3002"/>
      <c r="F14" s="3002"/>
      <c r="G14" s="3002"/>
      <c r="H14" s="3002"/>
      <c r="I14" s="3002"/>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3" t="s">
        <v>1656</v>
      </c>
      <c r="B1" s="3003"/>
      <c r="C1" s="3003"/>
      <c r="D1" s="3003"/>
    </row>
    <row r="2" spans="1:4" ht="18">
      <c r="A2" s="3004" t="s">
        <v>1640</v>
      </c>
      <c r="B2" s="3004"/>
      <c r="C2" s="3004"/>
      <c r="D2" s="3004"/>
    </row>
    <row r="3" spans="1:4" ht="18.75">
      <c r="A3" s="1975" t="s">
        <v>1641</v>
      </c>
      <c r="B3" s="1975" t="s">
        <v>1642</v>
      </c>
      <c r="C3" s="1975" t="s">
        <v>1643</v>
      </c>
      <c r="D3" s="1975" t="s">
        <v>1644</v>
      </c>
    </row>
    <row r="4" spans="1:4" ht="56.25" customHeight="1">
      <c r="A4" s="1976" t="str">
        <f>项目基本情况!B4</f>
        <v>吴薇</v>
      </c>
      <c r="B4" s="1977">
        <f ca="1">项目基本情况!C4</f>
        <v>1419970001</v>
      </c>
      <c r="C4" s="1978"/>
      <c r="D4" s="1979" t="s">
        <v>1645</v>
      </c>
    </row>
    <row r="5" spans="1:4" ht="56.25" customHeight="1">
      <c r="A5" s="1976" t="str">
        <f>项目基本情况!D4</f>
        <v>郑燚</v>
      </c>
      <c r="B5" s="1977">
        <f ca="1">项目基本情况!E4</f>
        <v>1120070131</v>
      </c>
      <c r="C5" s="1980"/>
      <c r="D5" s="1979" t="s">
        <v>1645</v>
      </c>
    </row>
    <row r="6" spans="1:4" ht="18">
      <c r="A6" s="3004" t="s">
        <v>1646</v>
      </c>
      <c r="B6" s="3004"/>
      <c r="C6" s="3004"/>
      <c r="D6" s="3004"/>
    </row>
    <row r="7" spans="1:4" ht="18.75">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8.75">
      <c r="A10" s="1982" t="s">
        <v>1648</v>
      </c>
      <c r="B10" s="728"/>
      <c r="C10" s="728"/>
      <c r="D10" s="728"/>
    </row>
    <row r="11" spans="1:4" ht="30" customHeight="1">
      <c r="A11" s="3005" t="s">
        <v>1649</v>
      </c>
      <c r="B11" s="3006"/>
      <c r="C11" s="3006"/>
      <c r="D11" s="3006"/>
    </row>
    <row r="12" spans="1:4" ht="15.75">
      <c r="A12" s="30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6" t="str">
        <f>IF(项目基本情况!B8="抵押","4.本次评估估价师所知悉的法定优先受偿款情况说明如下：","——")</f>
        <v>4.本次评估估价师所知悉的法定优先受偿款情况说明如下：</v>
      </c>
      <c r="B14" s="3007"/>
      <c r="C14" s="3007"/>
      <c r="D14" s="3007"/>
    </row>
    <row r="15" spans="1:4" ht="42" customHeight="1">
      <c r="A15" s="3006" t="str">
        <f>IF(项目基本情况!B8="抵押","（1）"&amp;CONCATENATE(项目基本情况!L20,项目基本情况!L21,项目基本情况!L22),"——")</f>
        <v>（1）根据估价对象《房屋所有权证》复印件、《国有土地使用权》复印件，截至价值时点，估价对象抵押权未见登记。</v>
      </c>
      <c r="B15" s="3006"/>
      <c r="C15" s="3006"/>
      <c r="D15" s="3006"/>
    </row>
    <row r="16" spans="1:4" ht="30" customHeight="1">
      <c r="A16" s="3009" t="s">
        <v>1650</v>
      </c>
      <c r="B16" s="3009"/>
      <c r="C16" s="3009"/>
      <c r="D16" s="3009"/>
    </row>
    <row r="17" spans="1:4" ht="144" customHeight="1">
      <c r="A17" s="3009" t="s">
        <v>1651</v>
      </c>
      <c r="B17" s="3009"/>
      <c r="C17" s="3009"/>
      <c r="D17" s="3009"/>
    </row>
    <row r="18" spans="1:4" ht="15.75" customHeight="1">
      <c r="A18" s="3006" t="str">
        <f>IF(项目基本情况!B8="抵押",结果表!K120,"——")</f>
        <v>故，本次评估不存在估价师知悉的法定优先受偿款</v>
      </c>
      <c r="B18" s="3006"/>
      <c r="C18" s="3006"/>
      <c r="D18" s="3006"/>
    </row>
    <row r="19" spans="1:4" ht="46.5" customHeight="1">
      <c r="A19" s="30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6"/>
      <c r="C19" s="3006"/>
      <c r="D19" s="3006"/>
    </row>
    <row r="20" spans="1:4" ht="57.75" customHeight="1">
      <c r="A20" s="30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6"/>
      <c r="C20" s="3006"/>
      <c r="D20" s="3006"/>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0"/>
      <c r="C21" s="3010"/>
      <c r="D21" s="3010"/>
    </row>
    <row r="22" spans="1:4" ht="18.75" customHeight="1">
      <c r="A22" s="3011" t="s">
        <v>1652</v>
      </c>
      <c r="B22" s="3011"/>
      <c r="C22" s="3011"/>
      <c r="D22" s="3011"/>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08">
        <v>42551</v>
      </c>
      <c r="D31" s="30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17" t="s">
        <v>1663</v>
      </c>
      <c r="B15" s="3012" t="s">
        <v>136</v>
      </c>
      <c r="C15" s="3013"/>
    </row>
    <row r="16" spans="1:7" ht="13.5">
      <c r="A16" s="3018"/>
      <c r="B16" s="3012" t="s">
        <v>69</v>
      </c>
      <c r="C16" s="3013"/>
    </row>
    <row r="17" spans="1:3" ht="13.5">
      <c r="A17" s="3018"/>
      <c r="B17" s="3015" t="s">
        <v>1664</v>
      </c>
      <c r="C17" s="1998" t="s">
        <v>1663</v>
      </c>
    </row>
    <row r="18" spans="1:3" ht="13.5">
      <c r="A18" s="3018"/>
      <c r="B18" s="3015"/>
      <c r="C18" s="1998" t="s">
        <v>1665</v>
      </c>
    </row>
    <row r="19" spans="1:3" ht="13.5">
      <c r="A19" s="3018"/>
      <c r="B19" s="3015"/>
      <c r="C19" s="1998" t="s">
        <v>1666</v>
      </c>
    </row>
    <row r="20" spans="1:3" ht="13.5">
      <c r="A20" s="3019"/>
      <c r="B20" s="3014" t="s">
        <v>1667</v>
      </c>
      <c r="C20" s="3013"/>
    </row>
    <row r="21" spans="1:3" ht="13.5">
      <c r="A21" s="1999" t="s">
        <v>1668</v>
      </c>
      <c r="B21" s="2000"/>
      <c r="C21" s="2001"/>
    </row>
    <row r="22" spans="1:3" ht="13.5">
      <c r="A22" s="3016" t="s">
        <v>1669</v>
      </c>
      <c r="B22" s="3014" t="s">
        <v>1670</v>
      </c>
      <c r="C22" s="3013"/>
    </row>
    <row r="23" spans="1:3" ht="13.5">
      <c r="A23" s="3016"/>
      <c r="B23" s="3014" t="s">
        <v>1671</v>
      </c>
      <c r="C23" s="3013"/>
    </row>
    <row r="24" spans="1:3" ht="13.5">
      <c r="A24" s="3016"/>
      <c r="B24" s="3014" t="s">
        <v>1672</v>
      </c>
      <c r="C24" s="3013"/>
    </row>
    <row r="25" spans="1:3" ht="13.5">
      <c r="A25" s="3016"/>
      <c r="B25" s="3015" t="s">
        <v>1673</v>
      </c>
      <c r="C25" s="1998" t="s">
        <v>1674</v>
      </c>
    </row>
    <row r="26" spans="1:3" ht="13.5">
      <c r="A26" s="3016"/>
      <c r="B26" s="3015"/>
      <c r="C26" s="1998" t="s">
        <v>1675</v>
      </c>
    </row>
    <row r="27" spans="1:3" ht="13.5">
      <c r="A27" s="3016"/>
      <c r="B27" s="3015"/>
      <c r="C27" s="1998" t="s">
        <v>1676</v>
      </c>
    </row>
    <row r="28" spans="1:3" ht="13.5">
      <c r="A28" s="3016"/>
      <c r="B28" s="3015"/>
      <c r="C28" s="1998" t="s">
        <v>1677</v>
      </c>
    </row>
    <row r="29" spans="1:3" ht="13.5">
      <c r="A29" s="3016"/>
      <c r="B29" s="3015"/>
      <c r="C29" s="1998" t="s">
        <v>1678</v>
      </c>
    </row>
    <row r="30" spans="1:3" ht="13.5">
      <c r="A30" s="3016"/>
      <c r="B30" s="3015"/>
      <c r="C30" s="1998" t="s">
        <v>1679</v>
      </c>
    </row>
    <row r="31" spans="1:3" ht="13.5">
      <c r="A31" s="3016"/>
      <c r="B31" s="3015"/>
      <c r="C31" s="1998" t="s">
        <v>1680</v>
      </c>
    </row>
    <row r="32" spans="1:3" ht="13.5">
      <c r="A32" s="3016"/>
      <c r="B32" s="3015"/>
      <c r="C32" s="1998" t="s">
        <v>1681</v>
      </c>
    </row>
    <row r="33" spans="1:3" ht="13.5">
      <c r="A33" s="3016"/>
      <c r="B33" s="3015"/>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43903</v>
      </c>
      <c r="C2" s="1019" t="s">
        <v>826</v>
      </c>
      <c r="D2" s="1019"/>
    </row>
    <row r="3" spans="1:6" ht="24" customHeight="1">
      <c r="A3" s="1020" t="s">
        <v>827</v>
      </c>
      <c r="B3" s="1021" t="s">
        <v>828</v>
      </c>
      <c r="C3" s="2342" t="s">
        <v>829</v>
      </c>
      <c r="D3" s="2345" t="s">
        <v>830</v>
      </c>
      <c r="E3" s="1022" t="s">
        <v>831</v>
      </c>
      <c r="F3" s="1021" t="s">
        <v>829</v>
      </c>
    </row>
    <row r="4" spans="1:6" ht="24" customHeight="1">
      <c r="A4" s="1702" t="s">
        <v>832</v>
      </c>
      <c r="B4" s="1022">
        <f ca="1">IF(C4&lt;B2,"已过期",1119970066)</f>
        <v>1119970066</v>
      </c>
      <c r="C4" s="2924">
        <v>44876</v>
      </c>
      <c r="D4" s="2346" t="s">
        <v>832</v>
      </c>
      <c r="E4" s="1022">
        <f ca="1">IF(F4&lt;B2,"已过期",96010014)</f>
        <v>96010014</v>
      </c>
      <c r="F4" s="1030">
        <v>47118</v>
      </c>
    </row>
    <row r="5" spans="1:6" ht="24" customHeight="1">
      <c r="A5" s="1702"/>
      <c r="B5" s="1022"/>
      <c r="C5" s="2343"/>
      <c r="D5" s="2346"/>
      <c r="E5" s="1022"/>
      <c r="F5" s="1030"/>
    </row>
    <row r="6" spans="1:6" ht="24" customHeight="1">
      <c r="A6" s="1702" t="s">
        <v>833</v>
      </c>
      <c r="B6" s="1022">
        <f ca="1">IF(C6&lt;B2,"已过期",1119970111)</f>
        <v>1119970111</v>
      </c>
      <c r="C6" s="2343">
        <v>44876</v>
      </c>
      <c r="D6" s="2346" t="s">
        <v>833</v>
      </c>
      <c r="E6" s="1022">
        <f ca="1">IF(F6&lt;B2,"已过期",94010078)</f>
        <v>94010078</v>
      </c>
      <c r="F6" s="1030">
        <v>46387</v>
      </c>
    </row>
    <row r="7" spans="1:6" ht="24" customHeight="1">
      <c r="A7" s="1702" t="s">
        <v>834</v>
      </c>
      <c r="B7" s="1022">
        <f ca="1">IF(C7&lt;B2,"已过期",1120050019)</f>
        <v>1120050019</v>
      </c>
      <c r="C7" s="2343">
        <v>44395</v>
      </c>
      <c r="D7" s="2346" t="s">
        <v>834</v>
      </c>
      <c r="E7" s="1022">
        <f ca="1">IF(F7&lt;B2,"已过期",2002110030)</f>
        <v>2002110030</v>
      </c>
      <c r="F7" s="1030">
        <v>46387</v>
      </c>
    </row>
    <row r="8" spans="1:6" ht="24" customHeight="1">
      <c r="A8" s="1702" t="s">
        <v>835</v>
      </c>
      <c r="B8" s="1022">
        <f ca="1">IF(C8&lt;B2,"已过期",1120000080)</f>
        <v>1120000080</v>
      </c>
      <c r="C8" s="2924">
        <v>44876</v>
      </c>
      <c r="D8" s="2346" t="s">
        <v>835</v>
      </c>
      <c r="E8" s="1022">
        <f ca="1">IF(F8&lt;B2,"已过期",2000110082)</f>
        <v>2000110082</v>
      </c>
      <c r="F8" s="1030">
        <v>46387</v>
      </c>
    </row>
    <row r="9" spans="1:6" ht="24" customHeight="1">
      <c r="A9" s="1702" t="s">
        <v>836</v>
      </c>
      <c r="B9" s="1022">
        <f ca="1">IF(C9&lt;B2,"已过期",1419970001)</f>
        <v>1419970001</v>
      </c>
      <c r="C9" s="2924">
        <v>44899</v>
      </c>
      <c r="D9" s="2346" t="s">
        <v>836</v>
      </c>
      <c r="E9" s="1022">
        <f ca="1">IF(F9&lt;B2,"已过期",2002110125)</f>
        <v>2002110125</v>
      </c>
      <c r="F9" s="1030">
        <v>47118</v>
      </c>
    </row>
    <row r="10" spans="1:6" ht="24" customHeight="1">
      <c r="A10" s="1702" t="s">
        <v>837</v>
      </c>
      <c r="B10" s="1022">
        <f ca="1">IF(C10&lt;B2,"已过期",1120060040)</f>
        <v>1120060040</v>
      </c>
      <c r="C10" s="2343">
        <v>44554</v>
      </c>
      <c r="D10" s="2346" t="s">
        <v>837</v>
      </c>
      <c r="E10" s="1022">
        <f ca="1">IF(F10&lt;B2,"已过期",2004110096)</f>
        <v>2004110096</v>
      </c>
      <c r="F10" s="1030">
        <v>47118</v>
      </c>
    </row>
    <row r="11" spans="1:6" ht="24" customHeight="1">
      <c r="A11" s="1702" t="s">
        <v>838</v>
      </c>
      <c r="B11" s="1022">
        <f ca="1">IF(C11&lt;B2,"已过期",1120100036)</f>
        <v>1120100036</v>
      </c>
      <c r="C11" s="2343">
        <v>44675</v>
      </c>
      <c r="D11" s="2346" t="s">
        <v>838</v>
      </c>
      <c r="E11" s="1022">
        <f ca="1">IF(F11&lt;B2,"已过期",2010110070)</f>
        <v>2010110070</v>
      </c>
      <c r="F11" s="1030">
        <v>47907</v>
      </c>
    </row>
    <row r="12" spans="1:6" ht="24" customHeight="1">
      <c r="A12" s="1702"/>
      <c r="B12" s="1022"/>
      <c r="C12" s="2924"/>
      <c r="D12" s="1702"/>
      <c r="E12" s="1022"/>
      <c r="F12" s="1030"/>
    </row>
    <row r="13" spans="1:6" ht="24" customHeight="1">
      <c r="A13" s="1702" t="s">
        <v>839</v>
      </c>
      <c r="B13" s="1022">
        <f ca="1">IF(C13&lt;B2,"已过期",1120070131)</f>
        <v>1120070131</v>
      </c>
      <c r="C13" s="2343">
        <v>44849</v>
      </c>
      <c r="D13" s="2346" t="s">
        <v>839</v>
      </c>
      <c r="E13" s="1022">
        <f ca="1">IF(F13&lt;B2,"已过期",2014110011)</f>
        <v>2014110011</v>
      </c>
      <c r="F13" s="1030">
        <v>49302</v>
      </c>
    </row>
    <row r="14" spans="1:6" ht="24" customHeight="1">
      <c r="A14" s="1702" t="s">
        <v>3042</v>
      </c>
      <c r="B14" s="1022">
        <f ca="1">IF(C14&lt;B2,"已过期",1120040230)</f>
        <v>1120040230</v>
      </c>
      <c r="C14" s="2343">
        <v>44864</v>
      </c>
      <c r="D14" s="2346" t="s">
        <v>3042</v>
      </c>
      <c r="E14" s="1022">
        <f ca="1">IF(F14&lt;B2,"已过期",98030020)</f>
        <v>98030020</v>
      </c>
      <c r="F14" s="1030">
        <v>47118</v>
      </c>
    </row>
    <row r="15" spans="1:6" ht="24" customHeight="1">
      <c r="A15" s="1703"/>
      <c r="B15" s="1022"/>
      <c r="C15" s="2343"/>
      <c r="D15" s="2347"/>
      <c r="E15" s="1022"/>
      <c r="F15" s="1023"/>
    </row>
    <row r="16" spans="1:6" ht="24" customHeight="1">
      <c r="A16" s="1702"/>
      <c r="B16" s="1022"/>
      <c r="C16" s="2924"/>
      <c r="D16" s="2346"/>
      <c r="E16" s="1022"/>
      <c r="F16" s="1030"/>
    </row>
    <row r="17" spans="1:7" ht="24" customHeight="1">
      <c r="A17" s="1702"/>
      <c r="B17" s="1022"/>
      <c r="C17" s="2343"/>
      <c r="D17" s="2346"/>
      <c r="E17" s="1022"/>
      <c r="F17" s="1030"/>
    </row>
    <row r="18" spans="1:7" ht="24" customHeight="1">
      <c r="A18" s="1702" t="s">
        <v>3049</v>
      </c>
      <c r="B18" s="1022">
        <v>1120190079</v>
      </c>
      <c r="C18" s="2924">
        <v>44826</v>
      </c>
      <c r="D18" s="2346"/>
      <c r="E18" s="1022"/>
      <c r="F18" s="1030"/>
    </row>
    <row r="19" spans="1:7" ht="24" customHeight="1">
      <c r="A19" s="1702"/>
      <c r="B19" s="1022"/>
      <c r="C19" s="2343"/>
      <c r="D19" s="2346"/>
      <c r="E19" s="1022"/>
      <c r="F19" s="1022"/>
    </row>
    <row r="20" spans="1:7" ht="24" customHeight="1">
      <c r="A20" s="1702"/>
      <c r="B20" s="1022"/>
      <c r="C20" s="2343"/>
      <c r="D20" s="2346"/>
      <c r="E20" s="1022"/>
      <c r="F20" s="1022"/>
    </row>
    <row r="21" spans="1:7" ht="24" customHeight="1">
      <c r="A21" s="1702"/>
      <c r="B21" s="1022"/>
      <c r="C21" s="2343"/>
      <c r="D21" s="2346" t="s">
        <v>840</v>
      </c>
      <c r="E21" s="1022">
        <f ca="1">IF(F21&lt;B2,"已过期",2011110090)</f>
        <v>2011110090</v>
      </c>
      <c r="F21" s="1030">
        <v>48302</v>
      </c>
    </row>
    <row r="22" spans="1:7" ht="24" customHeight="1">
      <c r="A22" s="1702" t="s">
        <v>841</v>
      </c>
      <c r="B22" s="1022">
        <f ca="1">IF(C22&lt;B2,"已过期",1120020033)</f>
        <v>1120020033</v>
      </c>
      <c r="C22" s="2924">
        <v>44339</v>
      </c>
      <c r="D22" s="2346" t="s">
        <v>841</v>
      </c>
      <c r="E22" s="1022">
        <f ca="1">IF(F22&lt;B2,"已过期",2000110137)</f>
        <v>2000110137</v>
      </c>
      <c r="F22" s="1030">
        <v>46387</v>
      </c>
    </row>
    <row r="23" spans="1:7" ht="24" customHeight="1">
      <c r="A23" s="1702" t="s">
        <v>3051</v>
      </c>
      <c r="B23" s="1022">
        <v>1119980106</v>
      </c>
      <c r="C23" s="2343">
        <v>43916</v>
      </c>
      <c r="D23" s="1702" t="s">
        <v>3054</v>
      </c>
      <c r="E23" s="1022">
        <v>96010063</v>
      </c>
      <c r="F23" s="1030">
        <v>47118</v>
      </c>
    </row>
    <row r="24" spans="1:7" s="1024" customFormat="1" ht="24" customHeight="1">
      <c r="A24" s="1703" t="s">
        <v>1328</v>
      </c>
      <c r="B24" s="1703" t="s">
        <v>1328</v>
      </c>
      <c r="C24" s="2344" t="s">
        <v>1328</v>
      </c>
      <c r="D24" s="2347" t="s">
        <v>1328</v>
      </c>
      <c r="E24" s="1703" t="s">
        <v>1328</v>
      </c>
      <c r="F24" s="1703" t="s">
        <v>1328</v>
      </c>
    </row>
    <row r="25" spans="1:7" ht="24" customHeight="1">
      <c r="A25" s="3020" t="s">
        <v>842</v>
      </c>
      <c r="B25" s="3020"/>
      <c r="C25" s="3020"/>
      <c r="D25" s="3020"/>
      <c r="E25" s="3020"/>
      <c r="F25" s="3020"/>
      <c r="G25" s="3020"/>
    </row>
    <row r="26" spans="1:7" s="1025" customFormat="1" ht="24" customHeight="1">
      <c r="A26" s="3021" t="s">
        <v>843</v>
      </c>
      <c r="B26" s="3021"/>
      <c r="C26" s="3022"/>
      <c r="D26" s="3023" t="s">
        <v>844</v>
      </c>
      <c r="E26" s="3021"/>
      <c r="F26" s="3021"/>
    </row>
    <row r="27" spans="1:7" s="1027" customFormat="1" ht="24" customHeight="1">
      <c r="A27" s="1026" t="s">
        <v>845</v>
      </c>
      <c r="B27" s="1021" t="s">
        <v>846</v>
      </c>
      <c r="C27" s="2342" t="s">
        <v>847</v>
      </c>
      <c r="D27" s="2349" t="s">
        <v>845</v>
      </c>
      <c r="E27" s="1021" t="s">
        <v>846</v>
      </c>
      <c r="F27" s="1021" t="s">
        <v>847</v>
      </c>
    </row>
    <row r="28" spans="1:7" s="1027" customFormat="1" ht="24" customHeight="1">
      <c r="A28" s="1028" t="s">
        <v>848</v>
      </c>
      <c r="B28" s="1029" t="s">
        <v>849</v>
      </c>
      <c r="C28" s="1030">
        <v>44820</v>
      </c>
      <c r="D28" s="2350" t="s">
        <v>850</v>
      </c>
      <c r="E28" s="1028" t="s">
        <v>851</v>
      </c>
      <c r="F28" s="1058">
        <v>44377</v>
      </c>
    </row>
    <row r="29" spans="1:7" s="1027" customFormat="1" ht="24" customHeight="1">
      <c r="A29" s="1028"/>
      <c r="B29" s="1028"/>
      <c r="C29" s="2348"/>
      <c r="D29" s="2350" t="s">
        <v>852</v>
      </c>
      <c r="E29" s="1202" t="s">
        <v>3050</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5" stopIfTrue="1" operator="lessThan">
      <formula>$B$2</formula>
    </cfRule>
  </conditionalFormatting>
  <conditionalFormatting sqref="C5">
    <cfRule type="expression" dxfId="218" priority="100">
      <formula>AND($C5-TODAY()&lt;30,TODAY()&lt;$C5)</formula>
    </cfRule>
  </conditionalFormatting>
  <conditionalFormatting sqref="C5 F5">
    <cfRule type="cellIs" dxfId="217" priority="101" stopIfTrue="1" operator="lessThan">
      <formula>$B$2</formula>
    </cfRule>
  </conditionalFormatting>
  <conditionalFormatting sqref="F6 F8 F10">
    <cfRule type="cellIs" dxfId="216" priority="99" stopIfTrue="1" operator="lessThan">
      <formula>$B$2</formula>
    </cfRule>
  </conditionalFormatting>
  <conditionalFormatting sqref="C5:C7 C13 C23 C17 C19:C21 C10:C11">
    <cfRule type="expression" dxfId="215" priority="97">
      <formula>AND($C5-TODAY()&lt;30,TODAY()&lt;$C5)</formula>
    </cfRule>
  </conditionalFormatting>
  <conditionalFormatting sqref="F7 F9 F11 C5:C7 C13 C23 C17 C19:C21 C10:C11">
    <cfRule type="cellIs" dxfId="214" priority="98" stopIfTrue="1" operator="lessThan">
      <formula>$B$2</formula>
    </cfRule>
  </conditionalFormatting>
  <conditionalFormatting sqref="C20">
    <cfRule type="expression" dxfId="213" priority="85">
      <formula>AND($C20-TODAY()&lt;30,TODAY()&lt;$C20)</formula>
    </cfRule>
  </conditionalFormatting>
  <conditionalFormatting sqref="C20">
    <cfRule type="cellIs" dxfId="212" priority="86" stopIfTrue="1" operator="lessThan">
      <formula>$B$2</formula>
    </cfRule>
  </conditionalFormatting>
  <conditionalFormatting sqref="C17">
    <cfRule type="expression" dxfId="211" priority="79">
      <formula>AND($C17-TODAY()&lt;30,TODAY()&lt;$C17)</formula>
    </cfRule>
  </conditionalFormatting>
  <conditionalFormatting sqref="C17">
    <cfRule type="cellIs" dxfId="210" priority="80" stopIfTrue="1" operator="lessThan">
      <formula>$B$2</formula>
    </cfRule>
  </conditionalFormatting>
  <conditionalFormatting sqref="C19">
    <cfRule type="expression" dxfId="209" priority="77">
      <formula>AND($C19-TODAY()&lt;30,TODAY()&lt;$C19)</formula>
    </cfRule>
  </conditionalFormatting>
  <conditionalFormatting sqref="C19">
    <cfRule type="cellIs" dxfId="208" priority="78" stopIfTrue="1" operator="lessThan">
      <formula>$B$2</formula>
    </cfRule>
  </conditionalFormatting>
  <conditionalFormatting sqref="C21">
    <cfRule type="expression" dxfId="207" priority="75">
      <formula>AND($C21-TODAY()&lt;30,TODAY()&lt;$C21)</formula>
    </cfRule>
  </conditionalFormatting>
  <conditionalFormatting sqref="C21">
    <cfRule type="cellIs" dxfId="206" priority="76" stopIfTrue="1" operator="lessThan">
      <formula>$B$2</formula>
    </cfRule>
  </conditionalFormatting>
  <conditionalFormatting sqref="C23">
    <cfRule type="expression" dxfId="205" priority="73">
      <formula>AND($C23-TODAY()&lt;30,TODAY()&lt;$C23)</formula>
    </cfRule>
  </conditionalFormatting>
  <conditionalFormatting sqref="C23">
    <cfRule type="cellIs" dxfId="204" priority="74" stopIfTrue="1" operator="lessThan">
      <formula>$B$2</formula>
    </cfRule>
  </conditionalFormatting>
  <conditionalFormatting sqref="F18">
    <cfRule type="cellIs" dxfId="203" priority="70" stopIfTrue="1" operator="lessThan">
      <formula>$B$2</formula>
    </cfRule>
  </conditionalFormatting>
  <conditionalFormatting sqref="F22">
    <cfRule type="cellIs" dxfId="202" priority="69" stopIfTrue="1" operator="lessThan">
      <formula>$B$2</formula>
    </cfRule>
  </conditionalFormatting>
  <conditionalFormatting sqref="F21">
    <cfRule type="cellIs" dxfId="201" priority="68" stopIfTrue="1" operator="lessThan">
      <formula>$B$2</formula>
    </cfRule>
  </conditionalFormatting>
  <conditionalFormatting sqref="B4:B11 E4:E11 B17 E18:E22 B13 E13 B19:B23">
    <cfRule type="cellIs" dxfId="200" priority="66" stopIfTrue="1" operator="equal">
      <formula>"已过期"</formula>
    </cfRule>
  </conditionalFormatting>
  <conditionalFormatting sqref="A24:F24">
    <cfRule type="cellIs" dxfId="199" priority="62" stopIfTrue="1" operator="equal">
      <formula>"已过期"</formula>
    </cfRule>
  </conditionalFormatting>
  <conditionalFormatting sqref="F28">
    <cfRule type="expression" dxfId="198" priority="60">
      <formula>AND($E28-TODAY()&lt;30,TODAY()&lt;$E28)</formula>
    </cfRule>
  </conditionalFormatting>
  <conditionalFormatting sqref="F28">
    <cfRule type="cellIs" dxfId="197" priority="61" stopIfTrue="1" operator="lessThan">
      <formula>$B$2</formula>
    </cfRule>
  </conditionalFormatting>
  <conditionalFormatting sqref="F29">
    <cfRule type="expression" dxfId="196" priority="56" stopIfTrue="1">
      <formula>AND($E29-TODAY()&lt;30,TODAY()&lt;$E29)</formula>
    </cfRule>
  </conditionalFormatting>
  <conditionalFormatting sqref="F29">
    <cfRule type="cellIs" dxfId="195" priority="57" stopIfTrue="1" operator="lessThan">
      <formula>$B$2</formula>
    </cfRule>
  </conditionalFormatting>
  <conditionalFormatting sqref="F13">
    <cfRule type="cellIs" dxfId="194" priority="49"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C12">
    <cfRule type="expression" dxfId="191" priority="45">
      <formula>AND($C12-TODAY()&lt;30,TODAY()&lt;$C12)</formula>
    </cfRule>
  </conditionalFormatting>
  <conditionalFormatting sqref="C12">
    <cfRule type="cellIs" dxfId="190" priority="46" stopIfTrue="1" operator="lessThan">
      <formula>$B$2</formula>
    </cfRule>
  </conditionalFormatting>
  <conditionalFormatting sqref="B12">
    <cfRule type="cellIs" dxfId="189" priority="44" stopIfTrue="1" operator="equal">
      <formula>"已过期"</formula>
    </cfRule>
  </conditionalFormatting>
  <conditionalFormatting sqref="E12">
    <cfRule type="cellIs" dxfId="188" priority="43" stopIfTrue="1" operator="equal">
      <formula>"已过期"</formula>
    </cfRule>
  </conditionalFormatting>
  <conditionalFormatting sqref="F12">
    <cfRule type="cellIs" dxfId="187" priority="42"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22">
    <cfRule type="expression" dxfId="184" priority="38">
      <formula>AND($C22-TODAY()&lt;30,TODAY()&lt;$C22)</formula>
    </cfRule>
  </conditionalFormatting>
  <conditionalFormatting sqref="C22">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C16">
    <cfRule type="expression" dxfId="180" priority="34">
      <formula>AND($C16-TODAY()&lt;30,TODAY()&lt;$C16)</formula>
    </cfRule>
  </conditionalFormatting>
  <conditionalFormatting sqref="C16">
    <cfRule type="cellIs" dxfId="179" priority="35" stopIfTrue="1" operator="lessThan">
      <formula>$B$2</formula>
    </cfRule>
  </conditionalFormatting>
  <conditionalFormatting sqref="B16">
    <cfRule type="cellIs" dxfId="178" priority="33" stopIfTrue="1" operator="equal">
      <formula>"已过期"</formula>
    </cfRule>
  </conditionalFormatting>
  <conditionalFormatting sqref="C14:C15">
    <cfRule type="expression" dxfId="177" priority="31">
      <formula>AND($C14-TODAY()&lt;30,TODAY()&lt;$C14)</formula>
    </cfRule>
  </conditionalFormatting>
  <conditionalFormatting sqref="C14:C15">
    <cfRule type="cellIs" dxfId="176" priority="32" stopIfTrue="1" operator="lessThan">
      <formula>$B$2</formula>
    </cfRule>
  </conditionalFormatting>
  <conditionalFormatting sqref="C14">
    <cfRule type="expression" dxfId="175" priority="29">
      <formula>AND($C14-TODAY()&lt;30,TODAY()&lt;$C14)</formula>
    </cfRule>
  </conditionalFormatting>
  <conditionalFormatting sqref="C14">
    <cfRule type="cellIs" dxfId="174" priority="30" stopIfTrue="1" operator="lessThan">
      <formula>$B$2</formula>
    </cfRule>
  </conditionalFormatting>
  <conditionalFormatting sqref="C15">
    <cfRule type="expression" dxfId="173" priority="27">
      <formula>AND($C15-TODAY()&lt;30,TODAY()&lt;$C15)</formula>
    </cfRule>
  </conditionalFormatting>
  <conditionalFormatting sqref="C15">
    <cfRule type="cellIs" dxfId="172" priority="28" stopIfTrue="1" operator="lessThan">
      <formula>$B$2</formula>
    </cfRule>
  </conditionalFormatting>
  <conditionalFormatting sqref="B14">
    <cfRule type="cellIs" dxfId="171" priority="26" stopIfTrue="1" operator="equal">
      <formula>"已过期"</formula>
    </cfRule>
  </conditionalFormatting>
  <conditionalFormatting sqref="B15">
    <cfRule type="cellIs" dxfId="170" priority="25" stopIfTrue="1" operator="equal">
      <formula>"已过期"</formula>
    </cfRule>
  </conditionalFormatting>
  <conditionalFormatting sqref="A15">
    <cfRule type="cellIs" dxfId="169" priority="24" stopIfTrue="1" operator="equal">
      <formula>"已过期"</formula>
    </cfRule>
  </conditionalFormatting>
  <conditionalFormatting sqref="C15">
    <cfRule type="expression" dxfId="168" priority="23">
      <formula>AND($C15-TODAY()&lt;30,TODAY()&lt;$C15)</formula>
    </cfRule>
  </conditionalFormatting>
  <conditionalFormatting sqref="F16">
    <cfRule type="cellIs" dxfId="167" priority="22" stopIfTrue="1" operator="lessThan">
      <formula>$B$2</formula>
    </cfRule>
  </conditionalFormatting>
  <conditionalFormatting sqref="E16 E14">
    <cfRule type="cellIs" dxfId="166" priority="21" stopIfTrue="1" operator="equal">
      <formula>"已过期"</formula>
    </cfRule>
  </conditionalFormatting>
  <conditionalFormatting sqref="E15">
    <cfRule type="cellIs" dxfId="165" priority="20" stopIfTrue="1" operator="equal">
      <formula>"已过期"</formula>
    </cfRule>
  </conditionalFormatting>
  <conditionalFormatting sqref="D15">
    <cfRule type="cellIs" dxfId="164" priority="19" stopIfTrue="1" operator="equal">
      <formula>"已过期"</formula>
    </cfRule>
  </conditionalFormatting>
  <conditionalFormatting sqref="F17">
    <cfRule type="cellIs" dxfId="163" priority="18" stopIfTrue="1" operator="lessThan">
      <formula>$B$2</formula>
    </cfRule>
  </conditionalFormatting>
  <conditionalFormatting sqref="E17">
    <cfRule type="cellIs" dxfId="162" priority="17" stopIfTrue="1" operator="equal">
      <formula>"已过期"</formula>
    </cfRule>
  </conditionalFormatting>
  <conditionalFormatting sqref="F14">
    <cfRule type="cellIs" dxfId="161" priority="16"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C18">
    <cfRule type="expression" dxfId="158" priority="12">
      <formula>AND($C18-TODAY()&lt;30,TODAY()&lt;$C18)</formula>
    </cfRule>
  </conditionalFormatting>
  <conditionalFormatting sqref="C18">
    <cfRule type="cellIs" dxfId="157" priority="13" stopIfTrue="1" operator="lessThan">
      <formula>$B$2</formula>
    </cfRule>
  </conditionalFormatting>
  <conditionalFormatting sqref="B18">
    <cfRule type="cellIs" dxfId="156" priority="11" stopIfTrue="1" operator="equal">
      <formula>"已过期"</formula>
    </cfRule>
  </conditionalFormatting>
  <conditionalFormatting sqref="C28">
    <cfRule type="expression" dxfId="155" priority="9">
      <formula>AND($C28-TODAY()&lt;30,TODAY()&lt;$C28)</formula>
    </cfRule>
  </conditionalFormatting>
  <conditionalFormatting sqref="C28">
    <cfRule type="cellIs" dxfId="154" priority="10" stopIfTrue="1" operator="lessThan">
      <formula>$B$2</formula>
    </cfRule>
  </conditionalFormatting>
  <conditionalFormatting sqref="C4">
    <cfRule type="expression" dxfId="153" priority="7">
      <formula>AND($C4-TODAY()&lt;30,TODAY()&lt;$C4)</formula>
    </cfRule>
  </conditionalFormatting>
  <conditionalFormatting sqref="C4">
    <cfRule type="cellIs" dxfId="152" priority="8" stopIfTrue="1" operator="lessThan">
      <formula>$B$2</formula>
    </cfRule>
  </conditionalFormatting>
  <conditionalFormatting sqref="C8">
    <cfRule type="expression" dxfId="151" priority="5">
      <formula>AND($C8-TODAY()&lt;30,TODAY()&lt;$C8)</formula>
    </cfRule>
  </conditionalFormatting>
  <conditionalFormatting sqref="C8">
    <cfRule type="cellIs" dxfId="150" priority="6" stopIfTrue="1" operator="lessThan">
      <formula>$B$2</formula>
    </cfRule>
  </conditionalFormatting>
  <conditionalFormatting sqref="C9">
    <cfRule type="expression" dxfId="149" priority="3">
      <formula>AND($C9-TODAY()&lt;30,TODAY()&lt;$C9)</formula>
    </cfRule>
  </conditionalFormatting>
  <conditionalFormatting sqref="C9">
    <cfRule type="cellIs" dxfId="148" priority="4" stopIfTrue="1" operator="lessThan">
      <formula>$B$2</formula>
    </cfRule>
  </conditionalFormatting>
  <conditionalFormatting sqref="F23">
    <cfRule type="cellIs" dxfId="147" priority="2" stopIfTrue="1" operator="lessThan">
      <formula>$B$2</formula>
    </cfRule>
  </conditionalFormatting>
  <conditionalFormatting sqref="E23">
    <cfRule type="cellIs" dxfId="146" priority="1" stopIfTrue="1" operator="equal">
      <formula>"已过期"</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2020-03-13T08:39:58Z</dcterms:modified>
</cp:coreProperties>
</file>